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AAAAA" sheetId="1" r:id="rId1"/>
  </sheets>
  <definedNames>
    <definedName name="_xlnm._FilterDatabase" localSheetId="0" hidden="1">AAAAA!$A$2:$G$9616</definedName>
  </definedNames>
  <calcPr calcId="0"/>
</workbook>
</file>

<file path=xl/calcChain.xml><?xml version="1.0" encoding="utf-8"?>
<calcChain xmlns="http://schemas.openxmlformats.org/spreadsheetml/2006/main">
  <c r="A984" i="1" l="1"/>
  <c r="A5713" i="1"/>
  <c r="A9163" i="1"/>
  <c r="A1776" i="1"/>
  <c r="A7623" i="1"/>
  <c r="A3758" i="1"/>
  <c r="A7982" i="1"/>
  <c r="A9085" i="1"/>
  <c r="A1700" i="1"/>
  <c r="A1690" i="1"/>
  <c r="A6663" i="1"/>
  <c r="A9035" i="1"/>
  <c r="A5551" i="1"/>
  <c r="A6946" i="1"/>
  <c r="A5561" i="1"/>
  <c r="A8307" i="1"/>
  <c r="A1720" i="1"/>
  <c r="A474" i="1"/>
  <c r="A6853" i="1"/>
  <c r="A8107" i="1"/>
  <c r="A2806" i="1"/>
  <c r="A8416" i="1"/>
  <c r="A9107" i="1"/>
  <c r="A4657" i="1"/>
  <c r="A4720" i="1"/>
  <c r="A9361" i="1"/>
  <c r="A3439" i="1"/>
  <c r="A7657" i="1"/>
  <c r="A7016" i="1"/>
  <c r="A2602" i="1"/>
  <c r="A2936" i="1"/>
  <c r="A3912" i="1"/>
  <c r="A7412" i="1"/>
  <c r="A6406" i="1"/>
  <c r="A5277" i="1"/>
  <c r="A1630" i="1"/>
  <c r="A7409" i="1"/>
  <c r="A8876" i="1"/>
  <c r="A8607" i="1"/>
  <c r="A8608" i="1"/>
  <c r="A4753" i="1"/>
  <c r="A1170" i="1"/>
  <c r="A2342" i="1"/>
  <c r="A8101" i="1"/>
  <c r="A7036" i="1"/>
  <c r="A1124" i="1"/>
  <c r="A1121" i="1"/>
  <c r="A5991" i="1"/>
  <c r="A7958" i="1"/>
  <c r="A8693" i="1"/>
  <c r="A8655" i="1"/>
  <c r="A3777" i="1"/>
  <c r="A8314" i="1"/>
  <c r="A7596" i="1"/>
  <c r="A2777" i="1"/>
  <c r="A4192" i="1"/>
  <c r="A620" i="1"/>
  <c r="A740" i="1"/>
  <c r="A8981" i="1"/>
  <c r="A1480" i="1"/>
  <c r="A1019" i="1"/>
  <c r="A861" i="1"/>
  <c r="A7407" i="1"/>
  <c r="A4797" i="1"/>
  <c r="A2771" i="1"/>
  <c r="A3144" i="1"/>
  <c r="A4060" i="1"/>
  <c r="A8812" i="1"/>
  <c r="A6193" i="1"/>
  <c r="A3145" i="1"/>
  <c r="A3609" i="1"/>
  <c r="A672" i="1"/>
  <c r="A909" i="1"/>
  <c r="A2731" i="1"/>
  <c r="A8072" i="1"/>
  <c r="A4693" i="1"/>
  <c r="A1601" i="1"/>
  <c r="A1580" i="1"/>
  <c r="A6794" i="1"/>
  <c r="A4309" i="1"/>
  <c r="A5970" i="1"/>
  <c r="A3142" i="1"/>
  <c r="A7288" i="1"/>
  <c r="A5165" i="1"/>
  <c r="A8602" i="1"/>
  <c r="A3742" i="1"/>
  <c r="A5445" i="1"/>
  <c r="A3458" i="1"/>
  <c r="A2248" i="1"/>
  <c r="A1481" i="1"/>
  <c r="A2954" i="1"/>
  <c r="A285" i="1"/>
  <c r="A9379" i="1"/>
  <c r="A3117" i="1"/>
  <c r="A8892" i="1"/>
  <c r="A9020" i="1"/>
  <c r="A8557" i="1"/>
  <c r="A9360" i="1"/>
  <c r="A5058" i="1"/>
  <c r="A367" i="1"/>
  <c r="A3631" i="1"/>
  <c r="A7432" i="1"/>
  <c r="A2033" i="1"/>
  <c r="A6604" i="1"/>
  <c r="A5229" i="1"/>
  <c r="A9002" i="1"/>
  <c r="A9050" i="1"/>
  <c r="A5924" i="1"/>
  <c r="A5030" i="1"/>
  <c r="A1689" i="1"/>
  <c r="A3311" i="1"/>
  <c r="A4204" i="1"/>
  <c r="A8060" i="1"/>
  <c r="A114" i="1"/>
  <c r="A1837" i="1"/>
  <c r="A4428" i="1"/>
  <c r="A3705" i="1"/>
  <c r="A9143" i="1"/>
  <c r="A2637" i="1"/>
  <c r="A4000" i="1"/>
  <c r="A6290" i="1"/>
  <c r="A1724" i="1"/>
  <c r="A4857" i="1"/>
  <c r="A5587" i="1"/>
  <c r="A2064" i="1"/>
  <c r="A7913" i="1"/>
  <c r="A8934" i="1"/>
  <c r="A1554" i="1"/>
  <c r="A5246" i="1"/>
  <c r="A4781" i="1"/>
  <c r="A2614" i="1"/>
  <c r="A2648" i="1"/>
  <c r="A9515" i="1"/>
  <c r="A2375" i="1"/>
  <c r="A4298" i="1"/>
  <c r="A8164" i="1"/>
  <c r="A2772" i="1"/>
  <c r="A7128" i="1"/>
  <c r="A6468" i="1"/>
  <c r="A864" i="1"/>
  <c r="A2644" i="1"/>
  <c r="A935" i="1"/>
  <c r="A1796" i="1"/>
  <c r="A1803" i="1"/>
  <c r="A8813" i="1"/>
  <c r="A1310" i="1"/>
  <c r="A3517" i="1"/>
  <c r="A6512" i="1"/>
  <c r="A6937" i="1"/>
  <c r="A8834" i="1"/>
  <c r="A5505" i="1"/>
  <c r="A7943" i="1"/>
  <c r="A8168" i="1"/>
  <c r="A5333" i="1"/>
  <c r="A8827" i="1"/>
  <c r="A195" i="1"/>
  <c r="A159" i="1"/>
  <c r="A7003" i="1"/>
  <c r="A22" i="1"/>
  <c r="A4139" i="1"/>
  <c r="A8270" i="1"/>
  <c r="A8446" i="1"/>
  <c r="A4537" i="1"/>
  <c r="A4156" i="1"/>
  <c r="A2304" i="1"/>
  <c r="A4454" i="1"/>
  <c r="A9061" i="1"/>
  <c r="A3219" i="1"/>
  <c r="A2508" i="1"/>
  <c r="A1095" i="1"/>
  <c r="A3532" i="1"/>
  <c r="A4891" i="1"/>
  <c r="A7960" i="1"/>
  <c r="A4012" i="1"/>
  <c r="A1632" i="1"/>
  <c r="A6202" i="1"/>
  <c r="A6932" i="1"/>
  <c r="A5052" i="1"/>
  <c r="A1186" i="1"/>
  <c r="A4619" i="1"/>
  <c r="A6698" i="1"/>
  <c r="A5394" i="1"/>
  <c r="A1808" i="1"/>
  <c r="A2374" i="1"/>
  <c r="A6420" i="1"/>
  <c r="A7293" i="1"/>
  <c r="A8936" i="1"/>
  <c r="A1486" i="1"/>
  <c r="A6892" i="1"/>
  <c r="A6949" i="1"/>
  <c r="A8275" i="1"/>
  <c r="A2617" i="1"/>
  <c r="A1836" i="1"/>
  <c r="A2836" i="1"/>
  <c r="A8157" i="1"/>
  <c r="A9249" i="1"/>
  <c r="A4237" i="1"/>
  <c r="A4702" i="1"/>
  <c r="A4944" i="1"/>
  <c r="A3844" i="1"/>
  <c r="A2167" i="1"/>
  <c r="A1410" i="1"/>
  <c r="A8186" i="1"/>
  <c r="A665" i="1"/>
  <c r="A2657" i="1"/>
  <c r="A7987" i="1"/>
  <c r="A5661" i="1"/>
  <c r="A8437" i="1"/>
  <c r="A2987" i="1"/>
  <c r="A8438" i="1"/>
  <c r="A423" i="1"/>
  <c r="A9089" i="1"/>
  <c r="A200" i="1"/>
  <c r="A2585" i="1"/>
  <c r="A6634" i="1"/>
  <c r="A207" i="1"/>
  <c r="A8695" i="1"/>
  <c r="A3368" i="1"/>
  <c r="A2679" i="1"/>
  <c r="A8318" i="1"/>
  <c r="A1773" i="1"/>
  <c r="A2591" i="1"/>
  <c r="A2209" i="1"/>
  <c r="A1035" i="1"/>
  <c r="A1891" i="1"/>
  <c r="A976" i="1"/>
  <c r="A5108" i="1"/>
  <c r="A1377" i="1"/>
  <c r="A2538" i="1"/>
  <c r="A8569" i="1"/>
  <c r="A1172" i="1"/>
  <c r="A1953" i="1"/>
  <c r="A7549" i="1"/>
  <c r="A2425" i="1"/>
  <c r="A1631" i="1"/>
  <c r="A7842" i="1"/>
  <c r="A1677" i="1"/>
  <c r="A4022" i="1"/>
  <c r="A1069" i="1"/>
  <c r="A959" i="1"/>
  <c r="A8316" i="1"/>
  <c r="A1068" i="1"/>
  <c r="A7362" i="1"/>
  <c r="A4064" i="1"/>
  <c r="A2672" i="1"/>
  <c r="A8633" i="1"/>
  <c r="A3224" i="1"/>
  <c r="A1308" i="1"/>
  <c r="A5576" i="1"/>
  <c r="A934" i="1"/>
  <c r="A5987" i="1"/>
  <c r="A8128" i="1"/>
  <c r="A1415" i="1"/>
  <c r="A6803" i="1"/>
  <c r="A1933" i="1"/>
  <c r="A8903" i="1"/>
  <c r="A794" i="1"/>
  <c r="A5325" i="1"/>
  <c r="A5983" i="1"/>
  <c r="A9391" i="1"/>
  <c r="A5363" i="1"/>
  <c r="A6110" i="1"/>
  <c r="A8046" i="1"/>
  <c r="A9383" i="1"/>
  <c r="A3715" i="1"/>
  <c r="A6581" i="1"/>
  <c r="A5062" i="1"/>
  <c r="A4637" i="1"/>
  <c r="A4816" i="1"/>
  <c r="A6570" i="1"/>
  <c r="A118" i="1"/>
  <c r="A2143" i="1"/>
  <c r="A1037" i="1"/>
  <c r="A3205" i="1"/>
  <c r="A5276" i="1"/>
  <c r="A4278" i="1"/>
  <c r="A69" i="1"/>
  <c r="A986" i="1"/>
  <c r="A5275" i="1"/>
  <c r="A5274" i="1"/>
  <c r="A3038" i="1"/>
  <c r="A4639" i="1"/>
  <c r="A1408" i="1"/>
  <c r="A37" i="1"/>
  <c r="A7197" i="1"/>
  <c r="A4757" i="1"/>
  <c r="A2999" i="1"/>
  <c r="A8963" i="1"/>
  <c r="A53" i="1"/>
  <c r="A9204" i="1"/>
  <c r="A483" i="1"/>
  <c r="A9337" i="1"/>
  <c r="A8121" i="1"/>
  <c r="A7640" i="1"/>
  <c r="A2218" i="1"/>
  <c r="A6700" i="1"/>
  <c r="A7603" i="1"/>
  <c r="A918" i="1"/>
  <c r="A6456" i="1"/>
  <c r="A1251" i="1"/>
  <c r="A6454" i="1"/>
  <c r="A2061" i="1"/>
  <c r="A7951" i="1"/>
  <c r="A3361" i="1"/>
  <c r="A6577" i="1"/>
  <c r="A7452" i="1"/>
  <c r="A6338" i="1"/>
  <c r="A7371" i="1"/>
  <c r="A6578" i="1"/>
  <c r="A7347" i="1"/>
  <c r="A68" i="1"/>
  <c r="A6571" i="1"/>
  <c r="A5423" i="1"/>
  <c r="A2201" i="1"/>
  <c r="A7950" i="1"/>
  <c r="A6455" i="1"/>
  <c r="A2207" i="1"/>
  <c r="A3034" i="1"/>
  <c r="A4270" i="1"/>
  <c r="A5198" i="1"/>
  <c r="A2208" i="1"/>
  <c r="A5422" i="1"/>
  <c r="A735" i="1"/>
  <c r="A2062" i="1"/>
  <c r="A5424" i="1"/>
  <c r="A2199" i="1"/>
  <c r="A6309" i="1"/>
  <c r="A1477" i="1"/>
  <c r="A6557" i="1"/>
  <c r="A70" i="1"/>
  <c r="A2983" i="1"/>
  <c r="A2984" i="1"/>
  <c r="A6072" i="1"/>
  <c r="A896" i="1"/>
  <c r="A7949" i="1"/>
  <c r="A5668" i="1"/>
  <c r="A3706" i="1"/>
  <c r="A4460" i="1"/>
  <c r="A5949" i="1"/>
  <c r="A3070" i="1"/>
  <c r="A2643" i="1"/>
  <c r="A5932" i="1"/>
  <c r="A6572" i="1"/>
  <c r="A6565" i="1"/>
  <c r="A9077" i="1"/>
  <c r="A7265" i="1"/>
  <c r="A5184" i="1"/>
  <c r="A126" i="1"/>
  <c r="A9479" i="1"/>
  <c r="A7953" i="1"/>
  <c r="A8879" i="1"/>
  <c r="A9381" i="1"/>
  <c r="A1130" i="1"/>
  <c r="A3058" i="1"/>
  <c r="A7954" i="1"/>
  <c r="A5950" i="1"/>
  <c r="A7012" i="1"/>
  <c r="A9551" i="1"/>
  <c r="A8953" i="1"/>
  <c r="A9331" i="1"/>
  <c r="A9572" i="1"/>
  <c r="A5427" i="1"/>
  <c r="A6569" i="1"/>
  <c r="A6688" i="1"/>
  <c r="A7578" i="1"/>
  <c r="A3069" i="1"/>
  <c r="A3820" i="1"/>
  <c r="A9065" i="1"/>
  <c r="A462" i="1"/>
  <c r="A8344" i="1"/>
  <c r="A1089" i="1"/>
  <c r="A384" i="1"/>
  <c r="A3217" i="1"/>
  <c r="A6299" i="1"/>
  <c r="A528" i="1"/>
  <c r="A9514" i="1"/>
  <c r="A9211" i="1"/>
  <c r="A2610" i="1"/>
  <c r="A8468" i="1"/>
  <c r="A6314" i="1"/>
  <c r="A7581" i="1"/>
  <c r="A2099" i="1"/>
  <c r="A4634" i="1"/>
  <c r="A157" i="1"/>
  <c r="A1715" i="1"/>
  <c r="A3049" i="1"/>
  <c r="A8129" i="1"/>
  <c r="A381" i="1"/>
  <c r="A2103" i="1"/>
  <c r="A2104" i="1"/>
  <c r="A8310" i="1"/>
  <c r="A211" i="1"/>
  <c r="A4502" i="1"/>
  <c r="A3373" i="1"/>
  <c r="A3060" i="1"/>
  <c r="A7417" i="1"/>
  <c r="A7094" i="1"/>
  <c r="A741" i="1"/>
  <c r="A6261" i="1"/>
  <c r="A7419" i="1"/>
  <c r="A7418" i="1"/>
  <c r="A1085" i="1"/>
  <c r="A737" i="1"/>
  <c r="A4905" i="1"/>
  <c r="A9018" i="1"/>
  <c r="A1704" i="1"/>
  <c r="A8322" i="1"/>
  <c r="A4722" i="1"/>
  <c r="A5526" i="1"/>
  <c r="A5200" i="1"/>
  <c r="A3190" i="1"/>
  <c r="A8685" i="1"/>
  <c r="A5516" i="1"/>
  <c r="A7948" i="1"/>
  <c r="A9380" i="1"/>
  <c r="A3707" i="1"/>
  <c r="A2134" i="1"/>
  <c r="A6855" i="1"/>
  <c r="A1413" i="1"/>
  <c r="A5941" i="1"/>
  <c r="A1553" i="1"/>
  <c r="A2341" i="1"/>
  <c r="A6393" i="1"/>
  <c r="A8458" i="1"/>
  <c r="A5388" i="1"/>
  <c r="A2321" i="1"/>
  <c r="A9364" i="1"/>
  <c r="A4576" i="1"/>
  <c r="A9335" i="1"/>
  <c r="A7408" i="1"/>
  <c r="A1503" i="1"/>
  <c r="A3399" i="1"/>
  <c r="A703" i="1"/>
  <c r="A6177" i="1"/>
  <c r="A8130" i="1"/>
  <c r="A899" i="1"/>
  <c r="A943" i="1"/>
  <c r="A4754" i="1"/>
  <c r="A5574" i="1"/>
  <c r="A6586" i="1"/>
  <c r="A6291" i="1"/>
  <c r="A6373" i="1"/>
  <c r="A3133" i="1"/>
  <c r="A1022" i="1"/>
  <c r="A2645" i="1"/>
  <c r="A8243" i="1"/>
  <c r="A9567" i="1"/>
  <c r="A6143" i="1"/>
  <c r="A8274" i="1"/>
  <c r="A713" i="1"/>
  <c r="A5331" i="1"/>
  <c r="A8271" i="1"/>
  <c r="A1694" i="1"/>
  <c r="A2160" i="1"/>
  <c r="A5099" i="1"/>
  <c r="A2923" i="1"/>
  <c r="A7952" i="1"/>
  <c r="A2940" i="1"/>
  <c r="A5259" i="1"/>
  <c r="A99" i="1"/>
  <c r="A4504" i="1"/>
  <c r="A2281" i="1"/>
  <c r="A1414" i="1"/>
  <c r="A2622" i="1"/>
  <c r="A5583" i="1"/>
  <c r="A5213" i="1"/>
  <c r="A8273" i="1"/>
  <c r="A7930" i="1"/>
  <c r="A8039" i="1"/>
  <c r="A4150" i="1"/>
  <c r="A8272" i="1"/>
  <c r="A5768" i="1"/>
  <c r="A8460" i="1"/>
  <c r="A9197" i="1"/>
  <c r="A1396" i="1"/>
  <c r="A1154" i="1"/>
  <c r="A117" i="1"/>
  <c r="A7448" i="1"/>
  <c r="A9474" i="1"/>
  <c r="A5999" i="1"/>
  <c r="A756" i="1"/>
  <c r="A1769" i="1"/>
  <c r="A2576" i="1"/>
  <c r="A3859" i="1"/>
  <c r="A5442" i="1"/>
  <c r="A3082" i="1"/>
  <c r="A8180" i="1"/>
  <c r="A2172" i="1"/>
  <c r="A6995" i="1"/>
  <c r="A2933" i="1"/>
  <c r="A3462" i="1"/>
  <c r="A2144" i="1"/>
  <c r="A6432" i="1"/>
  <c r="A1151" i="1"/>
  <c r="A2782" i="1"/>
  <c r="A3537" i="1"/>
  <c r="A8752" i="1"/>
  <c r="A3155" i="1"/>
  <c r="A7957" i="1"/>
  <c r="A3806" i="1"/>
  <c r="A5215" i="1"/>
  <c r="A2920" i="1"/>
  <c r="A5678" i="1"/>
  <c r="A4534" i="1"/>
  <c r="A422" i="1"/>
  <c r="A5744" i="1"/>
  <c r="A5726" i="1"/>
  <c r="A3371" i="1"/>
  <c r="A8188" i="1"/>
  <c r="A4217" i="1"/>
  <c r="A3176" i="1"/>
  <c r="A8870" i="1"/>
  <c r="A2428" i="1"/>
  <c r="A6871" i="1"/>
  <c r="A2065" i="1"/>
  <c r="A2770" i="1"/>
  <c r="A1411" i="1"/>
  <c r="A8626" i="1"/>
  <c r="A1341" i="1"/>
  <c r="A1587" i="1"/>
  <c r="A2942" i="1"/>
  <c r="A4328" i="1"/>
  <c r="A4263" i="1"/>
  <c r="A7956" i="1"/>
  <c r="A8917" i="1"/>
  <c r="A6771" i="1"/>
  <c r="A3750" i="1"/>
  <c r="A2077" i="1"/>
  <c r="A8702" i="1"/>
  <c r="A1851" i="1"/>
  <c r="A6161" i="1"/>
  <c r="A380" i="1"/>
  <c r="A8145" i="1"/>
  <c r="A1046" i="1"/>
  <c r="A1752" i="1"/>
  <c r="A9419" i="1"/>
  <c r="A5779" i="1"/>
  <c r="A610" i="1"/>
  <c r="A1501" i="1"/>
  <c r="A3037" i="1"/>
  <c r="A1573" i="1"/>
  <c r="A5433" i="1"/>
  <c r="A5434" i="1"/>
  <c r="A7976" i="1"/>
  <c r="A2222" i="1"/>
  <c r="A9615" i="1"/>
  <c r="A4280" i="1"/>
  <c r="A8906" i="1"/>
  <c r="A1063" i="1"/>
  <c r="A5316" i="1"/>
  <c r="A6535" i="1"/>
  <c r="A5302" i="1"/>
  <c r="A1716" i="1"/>
  <c r="A6984" i="1"/>
  <c r="A3845" i="1"/>
  <c r="A3870" i="1"/>
  <c r="A1407" i="1"/>
  <c r="A755" i="1"/>
  <c r="A3398" i="1"/>
  <c r="A571" i="1"/>
  <c r="A1250" i="1"/>
  <c r="A2234" i="1"/>
  <c r="A7611" i="1"/>
  <c r="A3841" i="1"/>
  <c r="A5326" i="1"/>
  <c r="A926" i="1"/>
  <c r="A946" i="1"/>
  <c r="A7401" i="1"/>
  <c r="A8088" i="1"/>
  <c r="A1754" i="1"/>
  <c r="A7454" i="1"/>
  <c r="A5673" i="1"/>
  <c r="A4766" i="1"/>
  <c r="A4546" i="1"/>
  <c r="A6863" i="1"/>
  <c r="A9043" i="1"/>
  <c r="A924" i="1"/>
  <c r="A6399" i="1"/>
  <c r="A4506" i="1"/>
  <c r="A2500" i="1"/>
  <c r="A3970" i="1"/>
  <c r="A443" i="1"/>
  <c r="A4968" i="1"/>
  <c r="A2613" i="1"/>
  <c r="A4507" i="1"/>
  <c r="A1883" i="1"/>
  <c r="A4009" i="1"/>
  <c r="A5617" i="1"/>
  <c r="A1289" i="1"/>
  <c r="A3211" i="1"/>
  <c r="A8967" i="1"/>
  <c r="A9064" i="1"/>
  <c r="A9005" i="1"/>
  <c r="A1599" i="1"/>
  <c r="A7144" i="1"/>
  <c r="A8996" i="1"/>
  <c r="A3842" i="1"/>
  <c r="A5588" i="1"/>
  <c r="A6555" i="1"/>
  <c r="A1547" i="1"/>
  <c r="A6005" i="1"/>
  <c r="A6119" i="1"/>
  <c r="A7055" i="1"/>
  <c r="A3578" i="1"/>
  <c r="A6657" i="1"/>
  <c r="A8207" i="1"/>
  <c r="A3545" i="1"/>
  <c r="A9024" i="1"/>
  <c r="A6690" i="1"/>
  <c r="A4236" i="1"/>
  <c r="A3843" i="1"/>
  <c r="A3981" i="1"/>
  <c r="A3229" i="1"/>
  <c r="A1098" i="1"/>
  <c r="A3655" i="1"/>
  <c r="A5425" i="1"/>
  <c r="A3246" i="1"/>
  <c r="A7643" i="1"/>
  <c r="A9231" i="1"/>
  <c r="A98" i="1"/>
  <c r="A1106" i="1"/>
  <c r="A2626" i="1"/>
  <c r="A552" i="1"/>
  <c r="A5575" i="1"/>
  <c r="A1594" i="1"/>
  <c r="A8141" i="1"/>
  <c r="A1003" i="1"/>
  <c r="A153" i="1"/>
  <c r="A3002" i="1"/>
  <c r="A6191" i="1"/>
  <c r="A5218" i="1"/>
  <c r="A4244" i="1"/>
  <c r="A7087" i="1"/>
  <c r="A2631" i="1"/>
  <c r="A1428" i="1"/>
  <c r="A1602" i="1"/>
  <c r="A975" i="1"/>
  <c r="A8648" i="1"/>
  <c r="A1701" i="1"/>
  <c r="A2071" i="1"/>
  <c r="A7541" i="1"/>
  <c r="A7684" i="1"/>
  <c r="A4601" i="1"/>
  <c r="A4392" i="1"/>
  <c r="A9123" i="1"/>
  <c r="A2651" i="1"/>
  <c r="A4310" i="1"/>
  <c r="A5512" i="1"/>
  <c r="A2161" i="1"/>
  <c r="A1306" i="1"/>
  <c r="A2928" i="1"/>
  <c r="A5163" i="1"/>
  <c r="A3247" i="1"/>
  <c r="A9359" i="1"/>
  <c r="A2153" i="1"/>
  <c r="A8368" i="1"/>
  <c r="A7959" i="1"/>
  <c r="A5689" i="1"/>
  <c r="A5053" i="1"/>
  <c r="A5079" i="1"/>
  <c r="A186" i="1"/>
  <c r="A5477" i="1"/>
  <c r="A705" i="1"/>
  <c r="A674" i="1"/>
  <c r="A9568" i="1"/>
  <c r="A1405" i="1"/>
  <c r="A1868" i="1"/>
  <c r="A2639" i="1"/>
  <c r="A8452" i="1"/>
  <c r="A2911" i="1"/>
  <c r="A4282" i="1"/>
  <c r="A9041" i="1"/>
  <c r="A2313" i="1"/>
  <c r="A5005" i="1"/>
  <c r="A7647" i="1"/>
  <c r="A5418" i="1"/>
  <c r="A9334" i="1"/>
  <c r="A9333" i="1"/>
  <c r="A2550" i="1"/>
  <c r="A4983" i="1"/>
  <c r="A3079" i="1"/>
  <c r="A9332" i="1"/>
  <c r="A3747" i="1"/>
  <c r="A7423" i="1"/>
  <c r="A2530" i="1"/>
  <c r="A439" i="1"/>
  <c r="A8337" i="1"/>
  <c r="A8345" i="1"/>
  <c r="A6567" i="1"/>
  <c r="A6582" i="1"/>
  <c r="A8343" i="1"/>
  <c r="A2531" i="1"/>
  <c r="A8971" i="1"/>
  <c r="A4382" i="1"/>
  <c r="A5290" i="1"/>
  <c r="A911" i="1"/>
  <c r="A3691" i="1"/>
  <c r="A1593" i="1"/>
  <c r="A3828" i="1"/>
  <c r="A4575" i="1"/>
  <c r="A2663" i="1"/>
  <c r="A155" i="1"/>
  <c r="A1983" i="1"/>
  <c r="A4912" i="1"/>
  <c r="A1600" i="1"/>
  <c r="A2299" i="1"/>
  <c r="A2297" i="1"/>
  <c r="A9586" i="1"/>
  <c r="A6695" i="1"/>
  <c r="A6638" i="1"/>
  <c r="A2116" i="1"/>
  <c r="A357" i="1"/>
  <c r="A40" i="1"/>
  <c r="A3033" i="1"/>
  <c r="A6726" i="1"/>
  <c r="A387" i="1"/>
  <c r="A2331" i="1"/>
  <c r="A3389" i="1"/>
  <c r="A6643" i="1"/>
  <c r="A1904" i="1"/>
  <c r="A431" i="1"/>
  <c r="A9498" i="1"/>
  <c r="A7980" i="1"/>
  <c r="A3774" i="1"/>
  <c r="A4031" i="1"/>
  <c r="A4755" i="1"/>
  <c r="A1771" i="1"/>
  <c r="A6661" i="1"/>
  <c r="A2023" i="1"/>
  <c r="A7476" i="1"/>
  <c r="A8703" i="1"/>
  <c r="A3126" i="1"/>
  <c r="A433" i="1"/>
  <c r="A2115" i="1"/>
  <c r="A9232" i="1"/>
  <c r="A5470" i="1"/>
  <c r="A5936" i="1"/>
  <c r="A1899" i="1"/>
  <c r="A4503" i="1"/>
  <c r="A3876" i="1"/>
  <c r="A605" i="1"/>
  <c r="A5934" i="1"/>
  <c r="A1416" i="1"/>
  <c r="A3080" i="1"/>
  <c r="A4609" i="1"/>
  <c r="A8114" i="1"/>
  <c r="A1925" i="1"/>
  <c r="A9278" i="1"/>
  <c r="A9216" i="1"/>
  <c r="A6038" i="1"/>
  <c r="A7485" i="1"/>
  <c r="A8320" i="1"/>
  <c r="A7979" i="1"/>
  <c r="A2180" i="1"/>
  <c r="A1591" i="1"/>
  <c r="A2176" i="1"/>
  <c r="A2230" i="1"/>
  <c r="A640" i="1"/>
  <c r="A6159" i="1"/>
  <c r="A5105" i="1"/>
  <c r="A2776" i="1"/>
  <c r="A1634" i="1"/>
  <c r="A1620" i="1"/>
  <c r="A2063" i="1"/>
  <c r="A9393" i="1"/>
  <c r="A7996" i="1"/>
  <c r="A4721" i="1"/>
  <c r="A5973" i="1"/>
  <c r="A8317" i="1"/>
  <c r="A2917" i="1"/>
  <c r="A1678" i="1"/>
  <c r="A8819" i="1"/>
  <c r="A4538" i="1"/>
  <c r="A4220" i="1"/>
  <c r="A8902" i="1"/>
  <c r="A8818" i="1"/>
  <c r="A1725" i="1"/>
  <c r="A4782" i="1"/>
  <c r="A7873" i="1"/>
  <c r="A1608" i="1"/>
  <c r="A5921" i="1"/>
  <c r="A6405" i="1"/>
  <c r="A7872" i="1"/>
  <c r="A1401" i="1"/>
  <c r="A1748" i="1"/>
  <c r="A8200" i="1"/>
  <c r="A553" i="1"/>
  <c r="A2256" i="1"/>
  <c r="A3141" i="1"/>
  <c r="A123" i="1"/>
  <c r="A1609" i="1"/>
  <c r="A9504" i="1"/>
  <c r="A2452" i="1"/>
  <c r="A5745" i="1"/>
  <c r="A3906" i="1"/>
  <c r="A2453" i="1"/>
  <c r="A7817" i="1"/>
  <c r="A4621" i="1"/>
  <c r="A4562" i="1"/>
  <c r="A6255" i="1"/>
  <c r="A8335" i="1"/>
  <c r="A5721" i="1"/>
  <c r="A8061" i="1"/>
  <c r="A2102" i="1"/>
  <c r="A922" i="1"/>
  <c r="A2729" i="1"/>
  <c r="A2168" i="1"/>
  <c r="A6401" i="1"/>
  <c r="A6400" i="1"/>
  <c r="A6098" i="1"/>
  <c r="A5925" i="1"/>
  <c r="A2728" i="1"/>
  <c r="A2727" i="1"/>
  <c r="A7981" i="1"/>
  <c r="A379" i="1"/>
  <c r="A4268" i="1"/>
  <c r="A2692" i="1"/>
  <c r="A2775" i="1"/>
  <c r="A9190" i="1"/>
  <c r="A3624" i="1"/>
  <c r="A8278" i="1"/>
  <c r="A6636" i="1"/>
  <c r="A1848" i="1"/>
  <c r="A2376" i="1"/>
  <c r="A8268" i="1"/>
  <c r="A3881" i="1"/>
  <c r="A1738" i="1"/>
  <c r="A1753" i="1"/>
  <c r="A6283" i="1"/>
  <c r="A6580" i="1"/>
  <c r="A8346" i="1"/>
  <c r="A8240" i="1"/>
  <c r="A8527" i="1"/>
  <c r="A6999" i="1"/>
  <c r="A2519" i="1"/>
  <c r="A5201" i="1"/>
  <c r="A1696" i="1"/>
  <c r="A1014" i="1"/>
  <c r="A7962" i="1"/>
  <c r="A7634" i="1"/>
  <c r="A1012" i="1"/>
  <c r="A1697" i="1"/>
  <c r="A5199" i="1"/>
  <c r="A1850" i="1"/>
  <c r="A2367" i="1"/>
  <c r="A6579" i="1"/>
  <c r="A5202" i="1"/>
  <c r="A5669" i="1"/>
  <c r="A3031" i="1"/>
  <c r="A3446" i="1"/>
  <c r="A2535" i="1"/>
  <c r="A4010" i="1"/>
  <c r="A7117" i="1"/>
  <c r="A7635" i="1"/>
  <c r="A1148" i="1"/>
  <c r="A3054" i="1"/>
  <c r="A5946" i="1"/>
  <c r="A3025" i="1"/>
  <c r="A6109" i="1"/>
  <c r="A4922" i="1"/>
  <c r="A3071" i="1"/>
  <c r="A2010" i="1"/>
  <c r="A2493" i="1"/>
  <c r="A9076" i="1"/>
  <c r="A3026" i="1"/>
  <c r="A6075" i="1"/>
  <c r="A5372" i="1"/>
  <c r="A5724" i="1"/>
  <c r="A8528" i="1"/>
  <c r="A7584" i="1"/>
  <c r="A2667" i="1"/>
  <c r="A9616" i="1"/>
  <c r="A8347" i="1"/>
  <c r="A9044" i="1"/>
  <c r="A3039" i="1"/>
  <c r="A4569" i="1"/>
  <c r="A629" i="1"/>
  <c r="A2691" i="1"/>
  <c r="A6575" i="1"/>
  <c r="A6905" i="1"/>
  <c r="A3633" i="1"/>
  <c r="A3028" i="1"/>
  <c r="A4106" i="1"/>
  <c r="A2175" i="1"/>
  <c r="A843" i="1"/>
  <c r="A9250" i="1"/>
  <c r="A5106" i="1"/>
  <c r="A5688" i="1"/>
  <c r="A603" i="1"/>
  <c r="A1305" i="1"/>
  <c r="A2170" i="1"/>
  <c r="A7307" i="1"/>
  <c r="A853" i="1"/>
  <c r="A6173" i="1"/>
  <c r="A1929" i="1"/>
  <c r="A1928" i="1"/>
  <c r="A170" i="1"/>
  <c r="A5652" i="1"/>
  <c r="A2369" i="1"/>
  <c r="A6402" i="1"/>
  <c r="A4873" i="1"/>
  <c r="A1572" i="1"/>
  <c r="A6131" i="1"/>
  <c r="A8999" i="1"/>
  <c r="A2994" i="1"/>
  <c r="A2298" i="1"/>
  <c r="A559" i="1"/>
  <c r="A2995" i="1"/>
  <c r="A734" i="1"/>
  <c r="A3717" i="1"/>
  <c r="A6182" i="1"/>
  <c r="A5655" i="1"/>
  <c r="A2133" i="1"/>
  <c r="A4085" i="1"/>
  <c r="A4871" i="1"/>
  <c r="A6176" i="1"/>
  <c r="A8777" i="1"/>
  <c r="A8415" i="1"/>
  <c r="A6658" i="1"/>
  <c r="A848" i="1"/>
  <c r="A9028" i="1"/>
  <c r="A2616" i="1"/>
  <c r="A753" i="1"/>
  <c r="A2989" i="1"/>
  <c r="A4581" i="1"/>
  <c r="A4617" i="1"/>
  <c r="A8413" i="1"/>
  <c r="A4580" i="1"/>
  <c r="A752" i="1"/>
  <c r="A4585" i="1"/>
  <c r="A4582" i="1"/>
  <c r="A981" i="1"/>
  <c r="A9097" i="1"/>
  <c r="A4584" i="1"/>
  <c r="A2991" i="1"/>
  <c r="A5601" i="1"/>
  <c r="A3632" i="1"/>
  <c r="A4045" i="1"/>
  <c r="A5476" i="1"/>
  <c r="A3647" i="1"/>
  <c r="A4264" i="1"/>
  <c r="A8175" i="1"/>
  <c r="A7090" i="1"/>
  <c r="A736" i="1"/>
  <c r="A9034" i="1"/>
  <c r="A6188" i="1"/>
  <c r="A9046" i="1"/>
  <c r="A3315" i="1"/>
  <c r="A754" i="1"/>
  <c r="A850" i="1"/>
  <c r="A4909" i="1"/>
  <c r="A2132" i="1"/>
  <c r="A985" i="1"/>
  <c r="A4269" i="1"/>
  <c r="A3863" i="1"/>
  <c r="A1058" i="1"/>
  <c r="A5114" i="1"/>
  <c r="A4732" i="1"/>
  <c r="A2677" i="1"/>
  <c r="A2337" i="1"/>
  <c r="A7723" i="1"/>
  <c r="A3990" i="1"/>
  <c r="A2504" i="1"/>
  <c r="A8653" i="1"/>
  <c r="A2618" i="1"/>
  <c r="A3979" i="1"/>
  <c r="A4872" i="1"/>
  <c r="A6181" i="1"/>
  <c r="A4365" i="1"/>
  <c r="A9094" i="1"/>
  <c r="A775" i="1"/>
  <c r="A5760" i="1"/>
  <c r="A2352" i="1"/>
  <c r="A8341" i="1"/>
  <c r="A2851" i="1"/>
  <c r="A4911" i="1"/>
  <c r="A4023" i="1"/>
  <c r="A1605" i="1"/>
  <c r="A1417" i="1"/>
  <c r="A9588" i="1"/>
  <c r="A7970" i="1"/>
  <c r="A9283" i="1"/>
  <c r="A913" i="1"/>
  <c r="A858" i="1"/>
  <c r="A3638" i="1"/>
  <c r="A7006" i="1"/>
  <c r="A2399" i="1"/>
  <c r="A6977" i="1"/>
  <c r="A1234" i="1"/>
  <c r="A1083" i="1"/>
  <c r="A1718" i="1"/>
  <c r="A982" i="1"/>
  <c r="A516" i="1"/>
  <c r="A6149" i="1"/>
  <c r="A1126" i="1"/>
  <c r="A983" i="1"/>
  <c r="A6878" i="1"/>
  <c r="A1606" i="1"/>
  <c r="A2072" i="1"/>
  <c r="A6183" i="1"/>
  <c r="A6184" i="1"/>
  <c r="A9026" i="1"/>
  <c r="A942" i="1"/>
  <c r="A3873" i="1"/>
  <c r="A3948" i="1"/>
  <c r="A9124" i="1"/>
  <c r="A3269" i="1"/>
  <c r="A4081" i="1"/>
  <c r="A1059" i="1"/>
  <c r="A4126" i="1"/>
  <c r="A3611" i="1"/>
  <c r="A1120" i="1"/>
  <c r="A1347" i="1"/>
  <c r="A3143" i="1"/>
  <c r="A6254" i="1"/>
  <c r="A4731" i="1"/>
  <c r="A1930" i="1"/>
  <c r="A6548" i="1"/>
  <c r="A185" i="1"/>
  <c r="A4923" i="1"/>
  <c r="A5691" i="1"/>
  <c r="A3429" i="1"/>
  <c r="A1712" i="1"/>
  <c r="A3234" i="1"/>
  <c r="A3917" i="1"/>
  <c r="A8324" i="1"/>
  <c r="A6362" i="1"/>
  <c r="A176" i="1"/>
  <c r="A2689" i="1"/>
  <c r="A2306" i="1"/>
  <c r="A1566" i="1"/>
  <c r="A2605" i="1"/>
  <c r="A4647" i="1"/>
  <c r="A1607" i="1"/>
  <c r="A8915" i="1"/>
  <c r="A8313" i="1"/>
  <c r="A8319" i="1"/>
  <c r="A3637" i="1"/>
  <c r="A2629" i="1"/>
  <c r="A9282" i="1"/>
  <c r="A2400" i="1"/>
  <c r="A255" i="1"/>
  <c r="A6175" i="1"/>
  <c r="A4925" i="1"/>
  <c r="A4262" i="1"/>
  <c r="A397" i="1"/>
  <c r="A564" i="1"/>
  <c r="A184" i="1"/>
  <c r="A6508" i="1"/>
  <c r="A5129" i="1"/>
  <c r="A2197" i="1"/>
  <c r="A1824" i="1"/>
  <c r="A3968" i="1"/>
  <c r="A4201" i="1"/>
  <c r="A9132" i="1"/>
  <c r="A7971" i="1"/>
  <c r="A7724" i="1"/>
  <c r="A4650" i="1"/>
  <c r="A7915" i="1"/>
  <c r="A2308" i="1"/>
  <c r="A1852" i="1"/>
  <c r="A980" i="1"/>
  <c r="A6391" i="1"/>
  <c r="A2696" i="1"/>
  <c r="A3658" i="1"/>
  <c r="A1763" i="1"/>
  <c r="A1927" i="1"/>
  <c r="A6552" i="1"/>
  <c r="A6544" i="1"/>
  <c r="A5976" i="1"/>
  <c r="A5975" i="1"/>
  <c r="A7916" i="1"/>
  <c r="A2678" i="1"/>
  <c r="A7404" i="1"/>
  <c r="A1367" i="1"/>
  <c r="A738" i="1"/>
  <c r="A8489" i="1"/>
  <c r="A6976" i="1"/>
  <c r="A5666" i="1"/>
  <c r="A3521" i="1"/>
  <c r="A3137" i="1"/>
  <c r="A8895" i="1"/>
  <c r="A6180" i="1"/>
  <c r="A1376" i="1"/>
  <c r="A989" i="1"/>
  <c r="A6593" i="1"/>
  <c r="A1823" i="1"/>
  <c r="A5948" i="1"/>
  <c r="A6273" i="1"/>
  <c r="A3075" i="1"/>
  <c r="A2007" i="1"/>
  <c r="A4231" i="1"/>
  <c r="A739" i="1"/>
  <c r="A4869" i="1"/>
  <c r="A1688" i="1"/>
  <c r="A854" i="1"/>
  <c r="A2690" i="1"/>
  <c r="A2693" i="1"/>
  <c r="A6599" i="1"/>
  <c r="A5982" i="1"/>
  <c r="A8339" i="1"/>
  <c r="A8105" i="1"/>
  <c r="A1319" i="1"/>
  <c r="A6600" i="1"/>
  <c r="A7358" i="1"/>
  <c r="A6179" i="1"/>
  <c r="A5598" i="1"/>
  <c r="A839" i="1"/>
  <c r="A838" i="1"/>
  <c r="A4275" i="1"/>
  <c r="A4199" i="1"/>
  <c r="A4153" i="1"/>
  <c r="A5361" i="1"/>
  <c r="A2096" i="1"/>
  <c r="A7917" i="1"/>
  <c r="A8264" i="1"/>
  <c r="A957" i="1"/>
  <c r="A1034" i="1"/>
  <c r="A2307" i="1"/>
  <c r="A1822" i="1"/>
  <c r="A7820" i="1"/>
  <c r="A9548" i="1"/>
  <c r="A5362" i="1"/>
  <c r="A6559" i="1"/>
  <c r="A4488" i="1"/>
  <c r="A5942" i="1"/>
  <c r="A1149" i="1"/>
  <c r="A1335" i="1"/>
  <c r="A832" i="1"/>
  <c r="A6560" i="1"/>
  <c r="A3351" i="1"/>
  <c r="A3146" i="1"/>
  <c r="A855" i="1"/>
  <c r="A7918" i="1"/>
  <c r="A1294" i="1"/>
  <c r="A2305" i="1"/>
  <c r="A3430" i="1"/>
  <c r="A4642" i="1"/>
  <c r="A3610" i="1"/>
  <c r="A4806" i="1"/>
  <c r="A2098" i="1"/>
  <c r="A5937" i="1"/>
  <c r="A4649" i="1"/>
  <c r="A9482" i="1"/>
  <c r="A5579" i="1"/>
  <c r="A2937" i="1"/>
  <c r="A4259" i="1"/>
  <c r="A2939" i="1"/>
  <c r="A2938" i="1"/>
  <c r="A5664" i="1"/>
  <c r="A7210" i="1"/>
  <c r="A4583" i="1"/>
  <c r="A1879" i="1"/>
  <c r="A8425" i="1"/>
  <c r="A5572" i="1"/>
  <c r="A2212" i="1"/>
  <c r="A1435" i="1"/>
  <c r="A6808" i="1"/>
  <c r="A2726" i="1"/>
  <c r="A8267" i="1"/>
  <c r="A5125" i="1"/>
  <c r="A250" i="1"/>
  <c r="A7769" i="1"/>
  <c r="A1060" i="1"/>
  <c r="A1703" i="1"/>
  <c r="A3872" i="1"/>
  <c r="A4002" i="1"/>
  <c r="A4793" i="1"/>
  <c r="A987" i="1"/>
  <c r="A4267" i="1"/>
  <c r="A4646" i="1"/>
  <c r="A6190" i="1"/>
  <c r="A4730" i="1"/>
  <c r="A1136" i="1"/>
  <c r="A1142" i="1"/>
  <c r="A8309" i="1"/>
  <c r="A6174" i="1"/>
  <c r="A572" i="1"/>
  <c r="A2941" i="1"/>
  <c r="A4724" i="1"/>
  <c r="A9022" i="1"/>
  <c r="A6178" i="1"/>
  <c r="A6464" i="1"/>
  <c r="A6185" i="1"/>
  <c r="A4725" i="1"/>
  <c r="A3877" i="1"/>
  <c r="A1145" i="1"/>
  <c r="A852" i="1"/>
  <c r="A3140" i="1"/>
  <c r="A3316" i="1"/>
  <c r="A7424" i="1"/>
  <c r="A8312" i="1"/>
  <c r="A6561" i="1"/>
  <c r="A846" i="1"/>
  <c r="A9023" i="1"/>
  <c r="A7437" i="1"/>
  <c r="A7463" i="1"/>
  <c r="A7428" i="1"/>
  <c r="A4189" i="1"/>
  <c r="A4261" i="1"/>
  <c r="A1691" i="1"/>
  <c r="A684" i="1"/>
  <c r="A3875" i="1"/>
  <c r="A2451" i="1"/>
  <c r="A639" i="1"/>
  <c r="A5839" i="1"/>
  <c r="A6210" i="1"/>
  <c r="A4638" i="1"/>
  <c r="A4266" i="1"/>
  <c r="A659" i="1"/>
  <c r="A4644" i="1"/>
  <c r="A4635" i="1"/>
  <c r="A849" i="1"/>
  <c r="A631" i="1"/>
  <c r="A4260" i="1"/>
  <c r="A8100" i="1"/>
  <c r="A1638" i="1"/>
  <c r="A93" i="1"/>
  <c r="A3635" i="1"/>
  <c r="A1084" i="1"/>
  <c r="A2203" i="1"/>
  <c r="A4265" i="1"/>
  <c r="A58" i="1"/>
  <c r="A3634" i="1"/>
  <c r="A3901" i="1"/>
  <c r="A1698" i="1"/>
  <c r="A5838" i="1"/>
  <c r="A2204" i="1"/>
  <c r="A3528" i="1"/>
  <c r="A8922" i="1"/>
  <c r="A2656" i="1"/>
  <c r="A82" i="1"/>
  <c r="A2694" i="1"/>
  <c r="A7420" i="1"/>
  <c r="A751" i="1"/>
  <c r="A1770" i="1"/>
  <c r="A4758" i="1"/>
  <c r="A4279" i="1"/>
  <c r="A8454" i="1"/>
  <c r="A2126" i="1"/>
  <c r="A3749" i="1"/>
  <c r="A6798" i="1"/>
  <c r="A96" i="1"/>
  <c r="A9131" i="1"/>
  <c r="A7469" i="1"/>
  <c r="A9605" i="1"/>
  <c r="A7438" i="1"/>
  <c r="A3967" i="1"/>
  <c r="A1412" i="1"/>
  <c r="A1433" i="1"/>
  <c r="A3313" i="1"/>
  <c r="A988" i="1"/>
  <c r="A1702" i="1"/>
  <c r="A3574" i="1"/>
  <c r="A757" i="1"/>
  <c r="A7439" i="1"/>
  <c r="A7403" i="1"/>
  <c r="A840" i="1"/>
  <c r="A6601" i="1"/>
  <c r="A3626" i="1"/>
  <c r="A644" i="1"/>
  <c r="A4648" i="1"/>
  <c r="A9030" i="1"/>
  <c r="A4645" i="1"/>
  <c r="A694" i="1"/>
  <c r="A9029" i="1"/>
  <c r="A1144" i="1"/>
  <c r="A4276" i="1"/>
  <c r="A5515" i="1"/>
  <c r="A4759" i="1"/>
  <c r="A7440" i="1"/>
  <c r="A847" i="1"/>
  <c r="A9129" i="1"/>
  <c r="A2210" i="1"/>
  <c r="A9130" i="1"/>
  <c r="A4640" i="1"/>
  <c r="A3734" i="1"/>
  <c r="A2608" i="1"/>
  <c r="A6551" i="1"/>
  <c r="A3" i="1"/>
  <c r="A2996" i="1"/>
  <c r="A3119" i="1"/>
  <c r="A3800" i="1"/>
  <c r="A3120" i="1"/>
  <c r="A167" i="1"/>
  <c r="A5953" i="1"/>
  <c r="A8645" i="1"/>
  <c r="A165" i="1"/>
  <c r="A9587" i="1"/>
  <c r="A3136" i="1"/>
  <c r="A842" i="1"/>
  <c r="A7595" i="1"/>
  <c r="A636" i="1"/>
  <c r="A5672" i="1"/>
  <c r="A1847" i="1"/>
  <c r="A2131" i="1"/>
  <c r="A625" i="1"/>
  <c r="A4272" i="1"/>
  <c r="A3937" i="1"/>
  <c r="A3938" i="1"/>
  <c r="A1434" i="1"/>
  <c r="A841" i="1"/>
  <c r="A5671" i="1"/>
  <c r="A8108" i="1"/>
  <c r="A4273" i="1"/>
  <c r="A4274" i="1"/>
  <c r="A1692" i="1"/>
  <c r="A4271" i="1"/>
  <c r="A3940" i="1"/>
  <c r="A4281" i="1"/>
  <c r="A4256" i="1"/>
  <c r="A4277" i="1"/>
  <c r="A2930" i="1"/>
  <c r="A1849" i="1"/>
  <c r="A4461" i="1"/>
  <c r="A8923" i="1"/>
  <c r="A9008" i="1"/>
  <c r="A4019" i="1"/>
  <c r="A8701" i="1"/>
  <c r="A5951" i="1"/>
  <c r="A9032" i="1"/>
  <c r="A4258" i="1"/>
  <c r="A1336" i="1"/>
  <c r="A6727" i="1"/>
  <c r="A633" i="1"/>
  <c r="A634" i="1"/>
  <c r="A6665" i="1"/>
  <c r="A3943" i="1"/>
  <c r="A5670" i="1"/>
  <c r="A4018" i="1"/>
  <c r="A5952" i="1"/>
  <c r="A7369" i="1"/>
  <c r="A6598" i="1"/>
  <c r="A1685" i="1"/>
  <c r="A632" i="1"/>
  <c r="A9031" i="1"/>
  <c r="A1684" i="1"/>
  <c r="A3993" i="1"/>
  <c r="A9033" i="1"/>
  <c r="A6230" i="1"/>
  <c r="A6219" i="1"/>
  <c r="A3880" i="1"/>
  <c r="A110" i="1"/>
  <c r="A4283" i="1"/>
  <c r="A9550" i="1"/>
  <c r="A2117" i="1"/>
  <c r="A4743" i="1"/>
  <c r="A5095" i="1"/>
  <c r="A1628" i="1"/>
  <c r="A461" i="1"/>
  <c r="A4780" i="1"/>
  <c r="A1586" i="1"/>
  <c r="A2929" i="1"/>
  <c r="A2764" i="1"/>
  <c r="A5006" i="1"/>
  <c r="A420" i="1"/>
  <c r="A2110" i="1"/>
  <c r="A3623" i="1"/>
  <c r="A9090" i="1"/>
  <c r="A5269" i="1"/>
  <c r="A8849" i="1"/>
  <c r="A4505" i="1"/>
  <c r="A2931" i="1"/>
  <c r="A2114" i="1"/>
  <c r="A3050" i="1"/>
  <c r="A1617" i="1"/>
  <c r="A5639" i="1"/>
  <c r="A2101" i="1"/>
  <c r="A2211" i="1"/>
  <c r="A7852" i="1"/>
  <c r="A3778" i="1"/>
  <c r="A9086" i="1"/>
  <c r="A468" i="1"/>
  <c r="A2202" i="1"/>
  <c r="A3575" i="1"/>
  <c r="A3930" i="1"/>
  <c r="A8323" i="1"/>
  <c r="A1478" i="1"/>
  <c r="A9039" i="1"/>
  <c r="A3657" i="1"/>
  <c r="A9040" i="1"/>
  <c r="A1964" i="1"/>
  <c r="A9585" i="1"/>
  <c r="A181" i="1"/>
  <c r="A857" i="1"/>
  <c r="A1316" i="1"/>
  <c r="A8657" i="1"/>
  <c r="A5209" i="1"/>
  <c r="A2934" i="1"/>
  <c r="A9083" i="1"/>
  <c r="A1956" i="1"/>
  <c r="A9251" i="1"/>
  <c r="A8404" i="1"/>
  <c r="A4541" i="1"/>
  <c r="A8656" i="1"/>
  <c r="A4750" i="1"/>
  <c r="A1627" i="1"/>
  <c r="A7243" i="1"/>
  <c r="A5113" i="1"/>
  <c r="A2600" i="1"/>
  <c r="A7828" i="1"/>
  <c r="A2075" i="1"/>
  <c r="A4933" i="1"/>
  <c r="A9376" i="1"/>
  <c r="A9593" i="1"/>
  <c r="A6017" i="1"/>
  <c r="A4876" i="1"/>
  <c r="A3083" i="1"/>
  <c r="A2076" i="1"/>
  <c r="A2647" i="1"/>
  <c r="A2506" i="1"/>
  <c r="A9126" i="1"/>
  <c r="A9389" i="1"/>
  <c r="A9372" i="1"/>
  <c r="A3884" i="1"/>
  <c r="A1147" i="1"/>
  <c r="A4044" i="1"/>
  <c r="A1160" i="1"/>
  <c r="A1161" i="1"/>
  <c r="A5430" i="1"/>
  <c r="A2636" i="1"/>
  <c r="A4321" i="1"/>
  <c r="A5595" i="1"/>
  <c r="A9373" i="1"/>
  <c r="A5922" i="1"/>
  <c r="A4878" i="1"/>
  <c r="A5428" i="1"/>
  <c r="A1616" i="1"/>
  <c r="A9388" i="1"/>
  <c r="A5429" i="1"/>
  <c r="A2635" i="1"/>
  <c r="A5594" i="1"/>
  <c r="A8195" i="1"/>
  <c r="A4879" i="1"/>
  <c r="A1825" i="1"/>
  <c r="A7553" i="1"/>
  <c r="A6547" i="1"/>
  <c r="A1597" i="1"/>
  <c r="A6258" i="1"/>
  <c r="A9199" i="1"/>
  <c r="A3883" i="1"/>
  <c r="A1171" i="1"/>
  <c r="A6308" i="1"/>
  <c r="A9206" i="1"/>
  <c r="A3882" i="1"/>
  <c r="A6623" i="1"/>
  <c r="A1143" i="1"/>
  <c r="A7743" i="1"/>
  <c r="A1543" i="1"/>
  <c r="A6037" i="1"/>
  <c r="A160" i="1"/>
  <c r="A1187" i="1"/>
  <c r="A2068" i="1"/>
  <c r="A3682" i="1"/>
  <c r="A1583" i="1"/>
  <c r="A2633" i="1"/>
  <c r="A4865" i="1"/>
  <c r="A9519" i="1"/>
  <c r="A6611" i="1"/>
  <c r="A696" i="1"/>
  <c r="A4536" i="1"/>
  <c r="A5926" i="1"/>
  <c r="A1585" i="1"/>
  <c r="A8829" i="1"/>
  <c r="A1343" i="1"/>
  <c r="A4561" i="1"/>
  <c r="A8891" i="1"/>
  <c r="A5641" i="1"/>
  <c r="A1520" i="1"/>
  <c r="A2392" i="1"/>
  <c r="A4938" i="1"/>
  <c r="A5928" i="1"/>
  <c r="A7071" i="1"/>
  <c r="A1051" i="1"/>
  <c r="A6392" i="1"/>
  <c r="A7081" i="1"/>
  <c r="A7063" i="1"/>
  <c r="A6394" i="1"/>
  <c r="A6024" i="1"/>
  <c r="A7335" i="1"/>
  <c r="A1866" i="1"/>
  <c r="A6901" i="1"/>
  <c r="A9238" i="1"/>
  <c r="A5257" i="1"/>
  <c r="A7218" i="1"/>
  <c r="A9269" i="1"/>
  <c r="A2664" i="1"/>
  <c r="A86" i="1"/>
  <c r="A404" i="1"/>
  <c r="A6900" i="1"/>
  <c r="A262" i="1"/>
  <c r="A1065" i="1"/>
  <c r="A1054" i="1"/>
  <c r="A638" i="1"/>
  <c r="A410" i="1"/>
  <c r="A3674" i="1"/>
  <c r="A9280" i="1"/>
  <c r="A8378" i="1"/>
  <c r="A5687" i="1"/>
  <c r="A406" i="1"/>
  <c r="A7044" i="1"/>
  <c r="A627" i="1"/>
  <c r="A2606" i="1"/>
  <c r="A8034" i="1"/>
  <c r="A4676" i="1"/>
  <c r="A407" i="1"/>
  <c r="A9303" i="1"/>
  <c r="A2094" i="1"/>
  <c r="A7929" i="1"/>
  <c r="A4558" i="1"/>
  <c r="A1735" i="1"/>
  <c r="A503" i="1"/>
  <c r="A4889" i="1"/>
  <c r="A2676" i="1"/>
  <c r="A3244" i="1"/>
  <c r="A1533" i="1"/>
  <c r="A1559" i="1"/>
  <c r="A261" i="1"/>
  <c r="A6624" i="1"/>
  <c r="A8084" i="1"/>
  <c r="A3573" i="1"/>
  <c r="A3731" i="1"/>
  <c r="A4823" i="1"/>
  <c r="A5709" i="1"/>
  <c r="A2623" i="1"/>
  <c r="A154" i="1"/>
  <c r="A3616" i="1"/>
  <c r="A5711" i="1"/>
  <c r="A7043" i="1"/>
  <c r="A342" i="1"/>
  <c r="A2575" i="1"/>
  <c r="A1905" i="1"/>
  <c r="A6705" i="1"/>
  <c r="A9019" i="1"/>
  <c r="A8874" i="1"/>
  <c r="A424" i="1"/>
  <c r="A2879" i="1"/>
  <c r="A1621" i="1"/>
  <c r="A8205" i="1"/>
  <c r="A641" i="1"/>
  <c r="A2120" i="1"/>
  <c r="A6031" i="1"/>
  <c r="A9378" i="1"/>
  <c r="A2612" i="1"/>
  <c r="A9339" i="1"/>
  <c r="A9518" i="1"/>
  <c r="A7054" i="1"/>
  <c r="A3666" i="1"/>
  <c r="A3095" i="1"/>
  <c r="A1133" i="1"/>
  <c r="A9374" i="1"/>
  <c r="A7166" i="1"/>
  <c r="A6064" i="1"/>
  <c r="A1097" i="1"/>
  <c r="A1087" i="1"/>
  <c r="A9157" i="1"/>
  <c r="A5743" i="1"/>
  <c r="A8896" i="1"/>
  <c r="A102" i="1"/>
  <c r="A1581" i="1"/>
  <c r="A8143" i="1"/>
  <c r="A4308" i="1"/>
  <c r="A4892" i="1"/>
  <c r="A3018" i="1"/>
  <c r="A2909" i="1"/>
  <c r="A8193" i="1"/>
  <c r="A1404" i="1"/>
  <c r="A9597" i="1"/>
  <c r="A2893" i="1"/>
  <c r="A2878" i="1"/>
  <c r="A5359" i="1"/>
  <c r="A7788" i="1"/>
  <c r="A6063" i="1"/>
  <c r="A2863" i="1"/>
  <c r="A377" i="1"/>
  <c r="A9375" i="1"/>
  <c r="A8194" i="1"/>
  <c r="A9279" i="1"/>
  <c r="A9053" i="1"/>
  <c r="A895" i="1"/>
  <c r="A3630" i="1"/>
  <c r="A8897" i="1"/>
  <c r="A263" i="1"/>
  <c r="A4553" i="1"/>
  <c r="A5923" i="1"/>
  <c r="A5742" i="1"/>
  <c r="A1406" i="1"/>
  <c r="A844" i="1"/>
  <c r="A845" i="1"/>
  <c r="A2599" i="1"/>
  <c r="A3615" i="1"/>
  <c r="A1488" i="1"/>
  <c r="A3612" i="1"/>
  <c r="A2845" i="1"/>
  <c r="A2100" i="1"/>
  <c r="A9215" i="1"/>
  <c r="A3741" i="1"/>
  <c r="A678" i="1"/>
  <c r="A6358" i="1"/>
  <c r="A9171" i="1"/>
  <c r="A5097" i="1"/>
  <c r="A1637" i="1"/>
  <c r="A2090" i="1"/>
  <c r="A1984" i="1"/>
  <c r="A9609" i="1"/>
  <c r="A1518" i="1"/>
  <c r="A1185" i="1"/>
  <c r="A9377" i="1"/>
  <c r="A6280" i="1"/>
  <c r="A584" i="1"/>
  <c r="A2092" i="1"/>
  <c r="A2095" i="1"/>
  <c r="A6919" i="1"/>
  <c r="A1546" i="1"/>
  <c r="A8281" i="1"/>
  <c r="A7019" i="1"/>
  <c r="A4123" i="1"/>
  <c r="A6720" i="1"/>
  <c r="A6562" i="1"/>
  <c r="A5864" i="1"/>
  <c r="A7501" i="1"/>
  <c r="A8885" i="1"/>
  <c r="A9180" i="1"/>
  <c r="A7033" i="1"/>
  <c r="A1313" i="1"/>
  <c r="A5619" i="1"/>
  <c r="A6328" i="1"/>
  <c r="A9012" i="1"/>
  <c r="A7499" i="1"/>
  <c r="A9014" i="1"/>
  <c r="A1338" i="1"/>
  <c r="A4884" i="1"/>
  <c r="A6607" i="1"/>
  <c r="A3933" i="1"/>
  <c r="A3934" i="1"/>
  <c r="A3853" i="1"/>
  <c r="A7811" i="1"/>
  <c r="A9416" i="1"/>
  <c r="A7761" i="1"/>
  <c r="A8836" i="1"/>
  <c r="A7833" i="1"/>
  <c r="A7427" i="1"/>
  <c r="A3736" i="1"/>
  <c r="A7810" i="1"/>
  <c r="A3051" i="1"/>
  <c r="A3730" i="1"/>
  <c r="A9415" i="1"/>
  <c r="A3055" i="1"/>
  <c r="A5680" i="1"/>
  <c r="A6610" i="1"/>
  <c r="A8890" i="1"/>
  <c r="A8835" i="1"/>
  <c r="A7301" i="1"/>
  <c r="A5947" i="1"/>
  <c r="A6620" i="1"/>
  <c r="A7482" i="1"/>
  <c r="A6612" i="1"/>
  <c r="A2752" i="1"/>
  <c r="A6619" i="1"/>
  <c r="A4366" i="1"/>
  <c r="A4767" i="1"/>
  <c r="A7500" i="1"/>
  <c r="A6608" i="1"/>
  <c r="A3196" i="1"/>
  <c r="A1991" i="1"/>
  <c r="A1210" i="1"/>
  <c r="A7217" i="1"/>
  <c r="A2876" i="1"/>
  <c r="A3675" i="1"/>
  <c r="A6550" i="1"/>
  <c r="A1374" i="1"/>
  <c r="A7484" i="1"/>
  <c r="A4072" i="1"/>
  <c r="A1512" i="1"/>
  <c r="A7228" i="1"/>
  <c r="A7579" i="1"/>
  <c r="A6718" i="1"/>
  <c r="A7336" i="1"/>
  <c r="A8421" i="1"/>
  <c r="A3992" i="1"/>
  <c r="A4077" i="1"/>
  <c r="A6706" i="1"/>
  <c r="A6721" i="1"/>
  <c r="A4422" i="1"/>
  <c r="A6158" i="1"/>
  <c r="A2781" i="1"/>
  <c r="A8426" i="1"/>
  <c r="A7159" i="1"/>
  <c r="A6971" i="1"/>
  <c r="A6713" i="1"/>
  <c r="A6714" i="1"/>
  <c r="A7056" i="1"/>
  <c r="A6711" i="1"/>
  <c r="A680" i="1"/>
  <c r="A3539" i="1"/>
  <c r="A2349" i="1"/>
  <c r="A8427" i="1"/>
  <c r="A7411" i="1"/>
  <c r="A6708" i="1"/>
  <c r="A7798" i="1"/>
  <c r="A6710" i="1"/>
  <c r="A8492" i="1"/>
  <c r="A9592" i="1"/>
  <c r="A7097" i="1"/>
  <c r="A5143" i="1"/>
  <c r="A7099" i="1"/>
  <c r="A4091" i="1"/>
  <c r="A2390" i="1"/>
  <c r="A4111" i="1"/>
  <c r="A8467" i="1"/>
  <c r="A2445" i="1"/>
  <c r="A1564" i="1"/>
  <c r="A7459" i="1"/>
  <c r="A3620" i="1"/>
  <c r="A1582" i="1"/>
  <c r="A5954" i="1"/>
  <c r="A1132" i="1"/>
  <c r="A7974" i="1"/>
  <c r="A6630" i="1"/>
  <c r="A1137" i="1"/>
  <c r="A4895" i="1"/>
  <c r="A4" i="1"/>
  <c r="A9594" i="1"/>
  <c r="A8197" i="1"/>
  <c r="A2355" i="1"/>
  <c r="A2079" i="1"/>
  <c r="A7537" i="1"/>
  <c r="A7547" i="1"/>
  <c r="A8203" i="1"/>
  <c r="A4920" i="1"/>
  <c r="A6440" i="1"/>
  <c r="A1146" i="1"/>
  <c r="A724" i="1"/>
  <c r="A2074" i="1"/>
  <c r="A8972" i="1"/>
  <c r="A7539" i="1"/>
  <c r="A2652" i="1"/>
  <c r="A9527" i="1"/>
  <c r="A1552" i="1"/>
  <c r="A8196" i="1"/>
  <c r="A7555" i="1"/>
  <c r="A7538" i="1"/>
  <c r="A2624" i="1"/>
  <c r="A9524" i="1"/>
  <c r="A2069" i="1"/>
  <c r="A7989" i="1"/>
  <c r="A4542" i="1"/>
  <c r="A7540" i="1"/>
  <c r="A5431" i="1"/>
  <c r="A1134" i="1"/>
  <c r="A4406" i="1"/>
  <c r="A1875" i="1"/>
  <c r="A6186" i="1"/>
  <c r="A706" i="1"/>
  <c r="A9146" i="1"/>
  <c r="A4867" i="1"/>
  <c r="A8311" i="1"/>
  <c r="A7746" i="1"/>
  <c r="A7715" i="1"/>
  <c r="A7443" i="1"/>
  <c r="A409" i="1"/>
  <c r="A3571" i="1"/>
  <c r="A689" i="1"/>
  <c r="A242" i="1"/>
  <c r="A3156" i="1"/>
  <c r="A4864" i="1"/>
  <c r="A3207" i="1"/>
  <c r="A649" i="1"/>
  <c r="A8634" i="1"/>
  <c r="A7716" i="1"/>
  <c r="A711" i="1"/>
  <c r="A686" i="1"/>
  <c r="A2036" i="1"/>
  <c r="A4307" i="1"/>
  <c r="A3214" i="1"/>
  <c r="A2043" i="1"/>
  <c r="A4896" i="1"/>
  <c r="A2012" i="1"/>
  <c r="A9192" i="1"/>
  <c r="A4890" i="1"/>
  <c r="A4886" i="1"/>
  <c r="A7402" i="1"/>
  <c r="A346" i="1"/>
  <c r="A212" i="1"/>
  <c r="A3567" i="1"/>
  <c r="A2035" i="1"/>
  <c r="A3186" i="1"/>
  <c r="A1568" i="1"/>
  <c r="A3257" i="1"/>
  <c r="A3487" i="1"/>
  <c r="A1686" i="1"/>
  <c r="A3986" i="1"/>
  <c r="A3523" i="1"/>
  <c r="A4421" i="1"/>
  <c r="A3533" i="1"/>
  <c r="A2477" i="1"/>
  <c r="A8199" i="1"/>
  <c r="A4568" i="1"/>
  <c r="A8699" i="1"/>
  <c r="A8949" i="1"/>
  <c r="A2041" i="1"/>
  <c r="A7786" i="1"/>
  <c r="A3496" i="1"/>
  <c r="A3469" i="1"/>
  <c r="A3524" i="1"/>
  <c r="A4877" i="1"/>
  <c r="A5584" i="1"/>
  <c r="A1687" i="1"/>
  <c r="A8428" i="1"/>
  <c r="A6556" i="1"/>
  <c r="A8712" i="1"/>
  <c r="A9371" i="1"/>
  <c r="A2357" i="1"/>
  <c r="A728" i="1"/>
  <c r="A6042" i="1"/>
  <c r="A9385" i="1"/>
  <c r="A2039" i="1"/>
  <c r="A6989" i="1"/>
  <c r="A6256" i="1"/>
  <c r="A7880" i="1"/>
  <c r="A2356" i="1"/>
  <c r="A8379" i="1"/>
  <c r="A6398" i="1"/>
  <c r="A5861" i="1"/>
  <c r="A2604" i="1"/>
  <c r="A1613" i="1"/>
  <c r="A2867" i="1"/>
  <c r="A9201" i="1"/>
  <c r="A6007" i="1"/>
  <c r="A6113" i="1"/>
  <c r="A725" i="1"/>
  <c r="A9210" i="1"/>
  <c r="A9271" i="1"/>
  <c r="A7686" i="1"/>
  <c r="A112" i="1"/>
  <c r="A1540" i="1"/>
  <c r="A2603" i="1"/>
  <c r="A9286" i="1"/>
  <c r="A6006" i="1"/>
  <c r="A1131" i="1"/>
  <c r="A1636" i="1"/>
  <c r="A7722" i="1"/>
  <c r="A2315" i="1"/>
  <c r="A2013" i="1"/>
  <c r="A2089" i="1"/>
  <c r="A3866" i="1"/>
  <c r="A5483" i="1"/>
  <c r="A5773" i="1"/>
  <c r="A5780" i="1"/>
  <c r="A8726" i="1"/>
  <c r="A4136" i="1"/>
  <c r="A5774" i="1"/>
  <c r="A2849" i="1"/>
  <c r="A3878" i="1"/>
  <c r="A8282" i="1"/>
  <c r="A1236" i="1"/>
  <c r="A4247" i="1"/>
  <c r="A470" i="1"/>
  <c r="A2912" i="1"/>
  <c r="A5220" i="1"/>
  <c r="A8883" i="1"/>
  <c r="A6265" i="1"/>
  <c r="A5506" i="1"/>
  <c r="A8654" i="1"/>
  <c r="A402" i="1"/>
  <c r="A908" i="1"/>
  <c r="A5104" i="1"/>
  <c r="A1683" i="1"/>
  <c r="A5663" i="1"/>
  <c r="A2468" i="1"/>
  <c r="A3040" i="1"/>
  <c r="A1323" i="1"/>
  <c r="A5107" i="1"/>
  <c r="A8398" i="1"/>
  <c r="A9564" i="1"/>
  <c r="A4907" i="1"/>
  <c r="A2385" i="1"/>
  <c r="A3110" i="1"/>
  <c r="A4852" i="1"/>
  <c r="A4906" i="1"/>
  <c r="A4372" i="1"/>
  <c r="A7925" i="1"/>
  <c r="A1070" i="1"/>
  <c r="A2810" i="1"/>
  <c r="A8821" i="1"/>
  <c r="A3865" i="1"/>
  <c r="A4524" i="1"/>
  <c r="A3111" i="1"/>
  <c r="A3065" i="1"/>
  <c r="A4137" i="1"/>
  <c r="A9275" i="1"/>
  <c r="A9268" i="1"/>
  <c r="A5776" i="1"/>
  <c r="A1086" i="1"/>
  <c r="A7926" i="1"/>
  <c r="A9301" i="1"/>
  <c r="A1360" i="1"/>
  <c r="A432" i="1"/>
  <c r="A9003" i="1"/>
  <c r="A835" i="1"/>
  <c r="A2384" i="1"/>
  <c r="A1855" i="1"/>
  <c r="A3001" i="1"/>
  <c r="A5101" i="1"/>
  <c r="A8095" i="1"/>
  <c r="A770" i="1"/>
  <c r="A1249" i="1"/>
  <c r="A1235" i="1"/>
  <c r="A2318" i="1"/>
  <c r="A3106" i="1"/>
  <c r="A2163" i="1"/>
  <c r="A9370" i="1"/>
  <c r="A5103" i="1"/>
  <c r="A5102" i="1"/>
  <c r="A2130" i="1"/>
  <c r="A8941" i="1"/>
  <c r="A1244" i="1"/>
  <c r="A2087" i="1"/>
  <c r="A8959" i="1"/>
  <c r="A1247" i="1"/>
  <c r="A6851" i="1"/>
  <c r="A243" i="1"/>
  <c r="A8619" i="1"/>
  <c r="A1359" i="1"/>
  <c r="A4527" i="1"/>
  <c r="A773" i="1"/>
  <c r="A3617" i="1"/>
  <c r="A6873" i="1"/>
  <c r="A1248" i="1"/>
  <c r="A1361" i="1"/>
  <c r="A3422" i="1"/>
  <c r="A2083" i="1"/>
  <c r="A1182" i="1"/>
  <c r="A5090" i="1"/>
  <c r="A2086" i="1"/>
  <c r="A5117" i="1"/>
  <c r="A772" i="1"/>
  <c r="A205" i="1"/>
  <c r="A1238" i="1"/>
  <c r="A9511" i="1"/>
  <c r="A6821" i="1"/>
  <c r="A253" i="1"/>
  <c r="A5214" i="1"/>
  <c r="A5110" i="1"/>
  <c r="A5178" i="1"/>
  <c r="A3041" i="1"/>
  <c r="A5525" i="1"/>
  <c r="A598" i="1"/>
  <c r="A2129" i="1"/>
  <c r="A1127" i="1"/>
  <c r="A5822" i="1"/>
  <c r="A4489" i="1"/>
  <c r="A4491" i="1"/>
  <c r="A4486" i="1"/>
  <c r="A4492" i="1"/>
  <c r="A3052" i="1"/>
  <c r="A8530" i="1"/>
  <c r="A2206" i="1"/>
  <c r="A1366" i="1"/>
  <c r="A3107" i="1"/>
  <c r="A774" i="1"/>
  <c r="A5777" i="1"/>
  <c r="A8531" i="1"/>
  <c r="A4908" i="1"/>
  <c r="A3867" i="1"/>
  <c r="A3063" i="1"/>
  <c r="A4973" i="1"/>
  <c r="A5087" i="1"/>
  <c r="A4972" i="1"/>
  <c r="A5354" i="1"/>
  <c r="A5109" i="1"/>
  <c r="A9512" i="1"/>
  <c r="A8397" i="1"/>
  <c r="A251" i="1"/>
  <c r="A1854" i="1"/>
  <c r="A1239" i="1"/>
  <c r="A5098" i="1"/>
  <c r="A1242" i="1"/>
  <c r="A2014" i="1"/>
  <c r="A401" i="1"/>
  <c r="A5775" i="1"/>
  <c r="A5821" i="1"/>
  <c r="A2165" i="1"/>
  <c r="A3108" i="1"/>
  <c r="A4407" i="1"/>
  <c r="A9009" i="1"/>
  <c r="A9367" i="1"/>
  <c r="A9513" i="1"/>
  <c r="A1177" i="1"/>
  <c r="A5088" i="1"/>
  <c r="A679" i="1"/>
  <c r="A9004" i="1"/>
  <c r="A8554" i="1"/>
  <c r="A5111" i="1"/>
  <c r="A2088" i="1"/>
  <c r="A3502" i="1"/>
  <c r="A6874" i="1"/>
  <c r="A2854" i="1"/>
  <c r="A2857" i="1"/>
  <c r="A790" i="1"/>
  <c r="A464" i="1"/>
  <c r="A910" i="1"/>
  <c r="A8400" i="1"/>
  <c r="A3451" i="1"/>
  <c r="A1240" i="1"/>
  <c r="A5507" i="1"/>
  <c r="A2536" i="1"/>
  <c r="A3874" i="1"/>
  <c r="A5778" i="1"/>
  <c r="A2546" i="1"/>
  <c r="A1950" i="1"/>
  <c r="A400" i="1"/>
  <c r="A1155" i="1"/>
  <c r="A1153" i="1"/>
  <c r="A9010" i="1"/>
  <c r="A1174" i="1"/>
  <c r="A2082" i="1"/>
  <c r="A4500" i="1"/>
  <c r="A1241" i="1"/>
  <c r="A5820" i="1"/>
  <c r="A1055" i="1"/>
  <c r="A5089" i="1"/>
  <c r="A6242" i="1"/>
  <c r="A9266" i="1"/>
  <c r="A9006" i="1"/>
  <c r="A3115" i="1"/>
  <c r="A514" i="1"/>
  <c r="A9000" i="1"/>
  <c r="A6212" i="1"/>
  <c r="A1243" i="1"/>
  <c r="A8408" i="1"/>
  <c r="A3030" i="1"/>
  <c r="A9273" i="1"/>
  <c r="A8401" i="1"/>
  <c r="A515" i="1"/>
  <c r="A2084" i="1"/>
  <c r="A2850" i="1"/>
  <c r="A5481" i="1"/>
  <c r="A5858" i="1"/>
  <c r="A7329" i="1"/>
  <c r="A704" i="1"/>
  <c r="A7088" i="1"/>
  <c r="A9562" i="1"/>
  <c r="A2402" i="1"/>
  <c r="A1010" i="1"/>
  <c r="A666" i="1"/>
  <c r="A695" i="1"/>
  <c r="A1071" i="1"/>
  <c r="A6568" i="1"/>
  <c r="A32" i="1"/>
  <c r="A4360" i="1"/>
  <c r="A4101" i="1"/>
  <c r="A5233" i="1"/>
  <c r="A9534" i="1"/>
  <c r="A9533" i="1"/>
  <c r="A9529" i="1"/>
  <c r="A9535" i="1"/>
  <c r="A6655" i="1"/>
  <c r="A7799" i="1"/>
  <c r="A429" i="1"/>
  <c r="A8333" i="1"/>
  <c r="A8975" i="1"/>
  <c r="A430" i="1"/>
  <c r="A5232" i="1"/>
  <c r="A8970" i="1"/>
  <c r="A8973" i="1"/>
  <c r="A2997" i="1"/>
  <c r="A2332" i="1"/>
  <c r="A929" i="1"/>
  <c r="A4499" i="1"/>
  <c r="A5119" i="1"/>
  <c r="A8534" i="1"/>
  <c r="A2698" i="1"/>
  <c r="A9368" i="1"/>
  <c r="A2085" i="1"/>
  <c r="A5121" i="1"/>
  <c r="A8331" i="1"/>
  <c r="A8535" i="1"/>
  <c r="A2476" i="1"/>
  <c r="A923" i="1"/>
  <c r="A887" i="1"/>
  <c r="A4483" i="1"/>
  <c r="A6203" i="1"/>
  <c r="A2322" i="1"/>
  <c r="A8115" i="1"/>
  <c r="A5531" i="1"/>
  <c r="A5227" i="1"/>
  <c r="A8640" i="1"/>
  <c r="A8429" i="1"/>
  <c r="A6160" i="1"/>
  <c r="A4368" i="1"/>
  <c r="A1365" i="1"/>
  <c r="A2927" i="1"/>
  <c r="A3598" i="1"/>
  <c r="A771" i="1"/>
  <c r="A768" i="1"/>
  <c r="A776" i="1"/>
  <c r="A2926" i="1"/>
  <c r="A4690" i="1"/>
  <c r="A6060" i="1"/>
  <c r="A2925" i="1"/>
  <c r="A2467" i="1"/>
  <c r="A2404" i="1"/>
  <c r="A1357" i="1"/>
  <c r="A1351" i="1"/>
  <c r="A391" i="1"/>
  <c r="A5857" i="1"/>
  <c r="A2924" i="1"/>
  <c r="A5210" i="1"/>
  <c r="A9161" i="1"/>
  <c r="A5243" i="1"/>
  <c r="A9563" i="1"/>
  <c r="A8117" i="1"/>
  <c r="A6979" i="1"/>
  <c r="A3723" i="1"/>
  <c r="A6430" i="1"/>
  <c r="A7835" i="1"/>
  <c r="A6818" i="1"/>
  <c r="A5532" i="1"/>
  <c r="A7779" i="1"/>
  <c r="A7748" i="1"/>
  <c r="A9274" i="1"/>
  <c r="A4822" i="1"/>
  <c r="A2511" i="1"/>
  <c r="A6425" i="1"/>
  <c r="A6428" i="1"/>
  <c r="A2458" i="1"/>
  <c r="A2482" i="1"/>
  <c r="A3128" i="1"/>
  <c r="A3434" i="1"/>
  <c r="A2502" i="1"/>
  <c r="A1705" i="1"/>
  <c r="A885" i="1"/>
  <c r="A7525" i="1"/>
  <c r="A3185" i="1"/>
  <c r="A7337" i="1"/>
  <c r="A1385" i="1"/>
  <c r="A3904" i="1"/>
  <c r="A9362" i="1"/>
  <c r="A5490" i="1"/>
  <c r="A4600" i="1"/>
  <c r="A5695" i="1"/>
  <c r="A5696" i="1"/>
  <c r="A8380" i="1"/>
  <c r="A5694" i="1"/>
  <c r="A8631" i="1"/>
  <c r="A9397" i="1"/>
  <c r="A8033" i="1"/>
  <c r="A6429" i="1"/>
  <c r="A8629" i="1"/>
  <c r="A1699" i="1"/>
  <c r="A8933" i="1"/>
  <c r="A5174" i="1"/>
  <c r="A1176" i="1"/>
  <c r="A8154" i="1"/>
  <c r="A1175" i="1"/>
  <c r="A2471" i="1"/>
  <c r="A7529" i="1"/>
  <c r="A2553" i="1"/>
  <c r="A8106" i="1"/>
  <c r="A427" i="1"/>
  <c r="A8576" i="1"/>
  <c r="A1384" i="1"/>
  <c r="A1237" i="1"/>
  <c r="A426" i="1"/>
  <c r="A6403" i="1"/>
  <c r="A9369" i="1"/>
  <c r="A8994" i="1"/>
  <c r="A9244" i="1"/>
  <c r="A7990" i="1"/>
  <c r="A3175" i="1"/>
  <c r="A6200" i="1"/>
  <c r="A8266" i="1"/>
  <c r="A5118" i="1"/>
  <c r="A5510" i="1"/>
  <c r="A7184" i="1"/>
  <c r="A5495" i="1"/>
  <c r="A5356" i="1"/>
  <c r="A8561" i="1"/>
  <c r="A1865" i="1"/>
  <c r="A5605" i="1"/>
  <c r="A2128" i="1"/>
  <c r="A3538" i="1"/>
  <c r="A3230" i="1"/>
  <c r="A3519" i="1"/>
  <c r="A4215" i="1"/>
  <c r="A5164" i="1"/>
  <c r="A5810" i="1"/>
  <c r="A6426" i="1"/>
  <c r="A399" i="1"/>
  <c r="A3507" i="1"/>
  <c r="A6431" i="1"/>
  <c r="A3724" i="1"/>
  <c r="A1745" i="1"/>
  <c r="A7636" i="1"/>
  <c r="A4205" i="1"/>
  <c r="A9017" i="1"/>
  <c r="A4987" i="1"/>
  <c r="A3053" i="1"/>
  <c r="A869" i="1"/>
  <c r="A4216" i="1"/>
  <c r="A196" i="1"/>
  <c r="A3116" i="1"/>
  <c r="A8430" i="1"/>
  <c r="A1427" i="1"/>
  <c r="A3125" i="1"/>
  <c r="A5544" i="1"/>
  <c r="A428" i="1"/>
  <c r="A3118" i="1"/>
  <c r="A6424" i="1"/>
  <c r="A9336" i="1"/>
  <c r="A1387" i="1"/>
  <c r="A6918" i="1"/>
  <c r="A4926" i="1"/>
  <c r="A8150" i="1"/>
  <c r="A7079" i="1"/>
  <c r="A932" i="1"/>
  <c r="A241" i="1"/>
  <c r="A931" i="1"/>
  <c r="A1804" i="1"/>
  <c r="A7862" i="1"/>
  <c r="A5545" i="1"/>
  <c r="A4359" i="1"/>
  <c r="A1794" i="1"/>
  <c r="A3355" i="1"/>
  <c r="A4723" i="1"/>
  <c r="A1932" i="1"/>
  <c r="A8709" i="1"/>
  <c r="A4671" i="1"/>
  <c r="A4566" i="1"/>
  <c r="A6664" i="1"/>
  <c r="A7845" i="1"/>
  <c r="A7080" i="1"/>
  <c r="A8029" i="1"/>
  <c r="A6635" i="1"/>
  <c r="A4673" i="1"/>
  <c r="A8635" i="1"/>
  <c r="A9478" i="1"/>
  <c r="A2147" i="1"/>
  <c r="A6142" i="1"/>
  <c r="A2111" i="1"/>
  <c r="A7487" i="1"/>
  <c r="A7488" i="1"/>
  <c r="A5353" i="1"/>
  <c r="A2149" i="1"/>
  <c r="A7961" i="1"/>
  <c r="A4701" i="1"/>
  <c r="A8431" i="1"/>
  <c r="A4700" i="1"/>
  <c r="A6656" i="1"/>
  <c r="A8630" i="1"/>
  <c r="A4674" i="1"/>
  <c r="A7490" i="1"/>
  <c r="A2697" i="1"/>
  <c r="A8589" i="1"/>
  <c r="A7493" i="1"/>
  <c r="A9480" i="1"/>
  <c r="A2142" i="1"/>
  <c r="A7489" i="1"/>
  <c r="A8070" i="1"/>
  <c r="A2113" i="1"/>
  <c r="A7492" i="1"/>
  <c r="A9191" i="1"/>
  <c r="A4548" i="1"/>
  <c r="A4672" i="1"/>
  <c r="A4564" i="1"/>
  <c r="A9477" i="1"/>
  <c r="A1152" i="1"/>
  <c r="A2695" i="1"/>
  <c r="A2146" i="1"/>
  <c r="A9398" i="1"/>
  <c r="A8159" i="1"/>
  <c r="A7486" i="1"/>
  <c r="A6662" i="1"/>
  <c r="A8073" i="1"/>
  <c r="A8628" i="1"/>
  <c r="A8435" i="1"/>
  <c r="A6891" i="1"/>
  <c r="A2972" i="1"/>
  <c r="A7158" i="1"/>
  <c r="A1381" i="1"/>
  <c r="A761" i="1"/>
  <c r="A1877" i="1"/>
  <c r="A7156" i="1"/>
  <c r="A1382" i="1"/>
  <c r="A7157" i="1"/>
  <c r="A583" i="1"/>
  <c r="A917" i="1"/>
  <c r="A920" i="1"/>
  <c r="A7836" i="1"/>
  <c r="A1088" i="1"/>
  <c r="A6347" i="1"/>
  <c r="A8455" i="1"/>
  <c r="A7763" i="1"/>
  <c r="A2489" i="1"/>
  <c r="A3752" i="1"/>
  <c r="A2465" i="1"/>
  <c r="A35" i="1"/>
  <c r="A2512" i="1"/>
  <c r="A3109" i="1"/>
  <c r="A4167" i="1"/>
  <c r="A6197" i="1"/>
  <c r="A55" i="1"/>
  <c r="A9330" i="1"/>
  <c r="A7874" i="1"/>
  <c r="A5677" i="1"/>
  <c r="A59" i="1"/>
  <c r="A8409" i="1"/>
  <c r="A8396" i="1"/>
  <c r="A791" i="1"/>
  <c r="A34" i="1"/>
  <c r="A52" i="1"/>
  <c r="A8847" i="1"/>
  <c r="A2447" i="1"/>
  <c r="A8698" i="1"/>
  <c r="A8410" i="1"/>
  <c r="A3801" i="1"/>
  <c r="A1799" i="1"/>
  <c r="A2479" i="1"/>
  <c r="A4027" i="1"/>
  <c r="A4163" i="1"/>
  <c r="A4240" i="1"/>
  <c r="A5482" i="1"/>
  <c r="A1857" i="1"/>
  <c r="A4151" i="1"/>
  <c r="A4148" i="1"/>
  <c r="A4898" i="1"/>
  <c r="A3768" i="1"/>
  <c r="A3700" i="1"/>
  <c r="A6198" i="1"/>
  <c r="A9329" i="1"/>
  <c r="A1386" i="1"/>
  <c r="A259" i="1"/>
  <c r="A258" i="1"/>
  <c r="A2420" i="1"/>
  <c r="A4143" i="1"/>
  <c r="A1729" i="1"/>
  <c r="A4162" i="1"/>
  <c r="A3732" i="1"/>
  <c r="A2975" i="1"/>
  <c r="A4448" i="1"/>
  <c r="A4166" i="1"/>
  <c r="A2680" i="1"/>
  <c r="A5808" i="1"/>
  <c r="A4239" i="1"/>
  <c r="A3759" i="1"/>
  <c r="A3418" i="1"/>
  <c r="A8952" i="1"/>
  <c r="A9583" i="1"/>
  <c r="A6452" i="1"/>
  <c r="A793" i="1"/>
  <c r="A485" i="1"/>
  <c r="A2171" i="1"/>
  <c r="A480" i="1"/>
  <c r="A3846" i="1"/>
  <c r="A1292" i="1"/>
  <c r="A8565" i="1"/>
  <c r="A4861" i="1"/>
  <c r="A2681" i="1"/>
  <c r="A4245" i="1"/>
  <c r="A8414" i="1"/>
  <c r="A2439" i="1"/>
  <c r="A5809" i="1"/>
  <c r="A9209" i="1"/>
  <c r="A61" i="1"/>
  <c r="A5632" i="1"/>
  <c r="A3835" i="1"/>
  <c r="A7559" i="1"/>
  <c r="A6785" i="1"/>
  <c r="A6883" i="1"/>
  <c r="A7296" i="1"/>
  <c r="A8708" i="1"/>
  <c r="A914" i="1"/>
  <c r="A860" i="1"/>
  <c r="A434" i="1"/>
  <c r="A6359" i="1"/>
  <c r="A5840" i="1"/>
  <c r="A2654" i="1"/>
  <c r="A5596" i="1"/>
  <c r="A3754" i="1"/>
  <c r="A8969" i="1"/>
  <c r="A4919" i="1"/>
  <c r="A3130" i="1"/>
  <c r="A7491" i="1"/>
  <c r="A7855" i="1"/>
  <c r="A1942" i="1"/>
  <c r="A4388" i="1"/>
  <c r="A6510" i="1"/>
  <c r="A3124" i="1"/>
  <c r="A3831" i="1"/>
  <c r="A4430" i="1"/>
  <c r="A6509" i="1"/>
  <c r="A6423" i="1"/>
  <c r="A5256" i="1"/>
  <c r="A3066" i="1"/>
  <c r="A8871" i="1"/>
  <c r="A4897" i="1"/>
  <c r="A7859" i="1"/>
  <c r="A9104" i="1"/>
  <c r="A6783" i="1"/>
  <c r="A6784" i="1"/>
  <c r="A8280" i="1"/>
  <c r="A151" i="1"/>
  <c r="A795" i="1"/>
  <c r="A9528" i="1"/>
  <c r="A7920" i="1"/>
  <c r="A458" i="1"/>
  <c r="A6810" i="1"/>
  <c r="A2587" i="1"/>
  <c r="A39" i="1"/>
  <c r="A5219" i="1"/>
  <c r="A3708" i="1"/>
  <c r="A6036" i="1"/>
  <c r="A951" i="1"/>
  <c r="A2424" i="1"/>
  <c r="A7697" i="1"/>
  <c r="A1300" i="1"/>
  <c r="A2480" i="1"/>
  <c r="A6374" i="1"/>
  <c r="A2122" i="1"/>
  <c r="A1364" i="1"/>
  <c r="A3121" i="1"/>
  <c r="A4819" i="1"/>
  <c r="A4222" i="1"/>
  <c r="A2516" i="1"/>
  <c r="A4389" i="1"/>
  <c r="A2478" i="1"/>
  <c r="A4699" i="1"/>
  <c r="A209" i="1"/>
  <c r="A7800" i="1"/>
  <c r="A6341" i="1"/>
  <c r="A33" i="1"/>
  <c r="A4429" i="1"/>
  <c r="A3228" i="1"/>
  <c r="A6187" i="1"/>
  <c r="A8434" i="1"/>
  <c r="A9195" i="1"/>
  <c r="A5273" i="1"/>
  <c r="A9408" i="1"/>
  <c r="A7250" i="1"/>
  <c r="A8495" i="1"/>
  <c r="A2484" i="1"/>
  <c r="A5530" i="1"/>
  <c r="A9580" i="1"/>
  <c r="A9221" i="1"/>
  <c r="A1504" i="1"/>
  <c r="A5247" i="1"/>
  <c r="A8432" i="1"/>
  <c r="A3688" i="1"/>
  <c r="A3255" i="1"/>
  <c r="A8433" i="1"/>
  <c r="A9270" i="1"/>
  <c r="A6786" i="1"/>
  <c r="A8158" i="1"/>
  <c r="A4587" i="1"/>
  <c r="A2577" i="1"/>
  <c r="A7464" i="1"/>
  <c r="A5187" i="1"/>
  <c r="A7846" i="1"/>
  <c r="A7868" i="1"/>
  <c r="A2831" i="1"/>
  <c r="A3178" i="1"/>
  <c r="A8009" i="1"/>
  <c r="A5186" i="1"/>
  <c r="A7840" i="1"/>
  <c r="A2254" i="1"/>
  <c r="A4202" i="1"/>
  <c r="A2135" i="1"/>
  <c r="A866" i="1"/>
  <c r="A6107" i="1"/>
  <c r="A8762" i="1"/>
  <c r="A4165" i="1"/>
  <c r="A5314" i="1"/>
  <c r="A5927" i="1"/>
  <c r="A4171" i="1"/>
  <c r="A1563" i="1"/>
  <c r="A7119" i="1"/>
  <c r="A669" i="1"/>
  <c r="A4981" i="1"/>
  <c r="A4285" i="1"/>
  <c r="A7332" i="1"/>
  <c r="A7162" i="1"/>
  <c r="A3127" i="1"/>
  <c r="A5216" i="1"/>
  <c r="A8233" i="1"/>
  <c r="A9510" i="1"/>
  <c r="A7331" i="1"/>
  <c r="A7287" i="1"/>
  <c r="A84" i="1"/>
  <c r="A7018" i="1"/>
  <c r="A7292" i="1"/>
  <c r="A4522" i="1"/>
  <c r="A8622" i="1"/>
  <c r="A6271" i="1"/>
  <c r="A65" i="1"/>
  <c r="A8238" i="1"/>
  <c r="A1872" i="1"/>
  <c r="A8048" i="1"/>
  <c r="A3129" i="1"/>
  <c r="A8814" i="1"/>
  <c r="A662" i="1"/>
  <c r="A8236" i="1"/>
  <c r="A3370" i="1"/>
  <c r="A1876" i="1"/>
  <c r="A4595" i="1"/>
  <c r="A8234" i="1"/>
  <c r="A7091" i="1"/>
  <c r="A822" i="1"/>
  <c r="A6053" i="1"/>
  <c r="A8235" i="1"/>
  <c r="A8593" i="1"/>
  <c r="A3076" i="1"/>
  <c r="A699" i="1"/>
  <c r="A4297" i="1"/>
  <c r="A1077" i="1"/>
  <c r="A4303" i="1"/>
  <c r="A5249" i="1"/>
  <c r="A4299" i="1"/>
  <c r="A8831" i="1"/>
  <c r="A7048" i="1"/>
  <c r="A9450" i="1"/>
  <c r="A3029" i="1"/>
  <c r="A6382" i="1"/>
  <c r="A1358" i="1"/>
  <c r="A5191" i="1"/>
  <c r="A4520" i="1"/>
  <c r="A7233" i="1"/>
  <c r="A2683" i="1"/>
  <c r="A7536" i="1"/>
  <c r="A8067" i="1"/>
  <c r="A8620" i="1"/>
  <c r="A8066" i="1"/>
  <c r="A9559" i="1"/>
  <c r="A4296" i="1"/>
  <c r="A8065" i="1"/>
  <c r="A8639" i="1"/>
  <c r="A1353" i="1"/>
  <c r="A7169" i="1"/>
  <c r="A9549" i="1"/>
  <c r="A5193" i="1"/>
  <c r="A1778" i="1"/>
  <c r="A2649" i="1"/>
  <c r="A8585" i="1"/>
  <c r="A6513" i="1"/>
  <c r="A5192" i="1"/>
  <c r="A7060" i="1"/>
  <c r="A6573" i="1"/>
  <c r="A933" i="1"/>
  <c r="A63" i="1"/>
  <c r="A1798" i="1"/>
  <c r="A5245" i="1"/>
  <c r="A1780" i="1"/>
  <c r="A1363" i="1"/>
  <c r="A6515" i="1"/>
  <c r="A3829" i="1"/>
  <c r="A7069" i="1"/>
  <c r="A8848" i="1"/>
  <c r="A8601" i="1"/>
  <c r="A3356" i="1"/>
  <c r="A3784" i="1"/>
  <c r="A8826" i="1"/>
  <c r="A7286" i="1"/>
  <c r="A7173" i="1"/>
  <c r="A7863" i="1"/>
  <c r="A1695" i="1"/>
  <c r="A2642" i="1"/>
  <c r="A8621" i="1"/>
  <c r="A6379" i="1"/>
  <c r="A7477" i="1"/>
  <c r="A5250" i="1"/>
  <c r="A62" i="1"/>
  <c r="A5860" i="1"/>
  <c r="A4607" i="1"/>
  <c r="A2056" i="1"/>
  <c r="A7858" i="1"/>
  <c r="A8873" i="1"/>
  <c r="A7395" i="1"/>
  <c r="A8574" i="1"/>
  <c r="A6418" i="1"/>
  <c r="A6419" i="1"/>
  <c r="A5188" i="1"/>
  <c r="A3086" i="1"/>
  <c r="A2463" i="1"/>
  <c r="A7254" i="1"/>
  <c r="A6050" i="1"/>
  <c r="A7478" i="1"/>
  <c r="A8232" i="1"/>
  <c r="A7328" i="1"/>
  <c r="A7330" i="1"/>
  <c r="A821" i="1"/>
  <c r="A5441" i="1"/>
  <c r="A7093" i="1"/>
  <c r="A3198" i="1"/>
  <c r="A467" i="1"/>
  <c r="A437" i="1"/>
  <c r="A475" i="1"/>
  <c r="A460" i="1"/>
  <c r="A2422" i="1"/>
  <c r="A4208" i="1"/>
  <c r="A5894" i="1"/>
  <c r="A5444" i="1"/>
  <c r="A2419" i="1"/>
  <c r="A2715" i="1"/>
  <c r="A5897" i="1"/>
  <c r="A2426" i="1"/>
  <c r="A5900" i="1"/>
  <c r="A7165" i="1"/>
  <c r="A2437" i="1"/>
  <c r="A2438" i="1"/>
  <c r="A5899" i="1"/>
  <c r="A4173" i="1"/>
  <c r="A2432" i="1"/>
  <c r="A5898" i="1"/>
  <c r="A2713" i="1"/>
  <c r="A476" i="1"/>
  <c r="A6965" i="1"/>
  <c r="A5788" i="1"/>
  <c r="A5896" i="1"/>
  <c r="A5443" i="1"/>
  <c r="A1570" i="1"/>
  <c r="A473" i="1"/>
  <c r="A7163" i="1"/>
  <c r="A8893" i="1"/>
  <c r="A7357" i="1"/>
  <c r="A1577" i="1"/>
  <c r="A2423" i="1"/>
  <c r="A6096" i="1"/>
  <c r="A2443" i="1"/>
  <c r="A816" i="1"/>
  <c r="A7268" i="1"/>
  <c r="A7267" i="1"/>
  <c r="A668" i="1"/>
  <c r="A4218" i="1"/>
  <c r="A6089" i="1"/>
  <c r="A8417" i="1"/>
  <c r="A2718" i="1"/>
  <c r="A3582" i="1"/>
  <c r="A2505" i="1"/>
  <c r="A8578" i="1"/>
  <c r="A9287" i="1"/>
  <c r="A3248" i="1"/>
  <c r="A2714" i="1"/>
  <c r="A9245" i="1"/>
  <c r="A3583" i="1"/>
  <c r="A4899" i="1"/>
  <c r="A9285" i="1"/>
  <c r="A7359" i="1"/>
  <c r="A8588" i="1"/>
  <c r="A4986" i="1"/>
  <c r="A2808" i="1"/>
  <c r="A6969" i="1"/>
  <c r="A1173" i="1"/>
  <c r="A2720" i="1"/>
  <c r="A2807" i="1"/>
  <c r="A8606" i="1"/>
  <c r="A9288" i="1"/>
  <c r="A6090" i="1"/>
  <c r="A54" i="1"/>
  <c r="A4174" i="1"/>
  <c r="A2621" i="1"/>
  <c r="A9071" i="1"/>
  <c r="A8493" i="1"/>
  <c r="A3858" i="1"/>
  <c r="A208" i="1"/>
  <c r="A7360" i="1"/>
  <c r="A820" i="1"/>
  <c r="A1668" i="1"/>
  <c r="A4961" i="1"/>
  <c r="A6822" i="1"/>
  <c r="A8170" i="1"/>
  <c r="A5909" i="1"/>
  <c r="A4962" i="1"/>
  <c r="A1388" i="1"/>
  <c r="A4992" i="1"/>
  <c r="A4980" i="1"/>
  <c r="A939" i="1"/>
  <c r="A5301" i="1"/>
  <c r="A4324" i="1"/>
  <c r="A4979" i="1"/>
  <c r="A8872" i="1"/>
  <c r="A436" i="1"/>
  <c r="A1569" i="1"/>
  <c r="A710" i="1"/>
  <c r="A442" i="1"/>
  <c r="A4990" i="1"/>
  <c r="A2393" i="1"/>
  <c r="A8979" i="1"/>
  <c r="A1389" i="1"/>
  <c r="A2833" i="1"/>
  <c r="A8978" i="1"/>
  <c r="A8894" i="1"/>
  <c r="A4989" i="1"/>
  <c r="A6668" i="1"/>
  <c r="A8977" i="1"/>
  <c r="A3193" i="1"/>
  <c r="A4481" i="1"/>
  <c r="A2682" i="1"/>
  <c r="A4211" i="1"/>
  <c r="A4200" i="1"/>
  <c r="A4212" i="1"/>
  <c r="A2398" i="1"/>
  <c r="A4210" i="1"/>
  <c r="A4521" i="1"/>
  <c r="A4364" i="1"/>
  <c r="A2320" i="1"/>
  <c r="A4176" i="1"/>
  <c r="A1383" i="1"/>
  <c r="A4175" i="1"/>
  <c r="A4959" i="1"/>
  <c r="A2421" i="1"/>
  <c r="A4960" i="1"/>
  <c r="A3830" i="1"/>
  <c r="A4301" i="1"/>
  <c r="A4300" i="1"/>
  <c r="A6872" i="1"/>
  <c r="A5054" i="1"/>
  <c r="A3098" i="1"/>
  <c r="A7534" i="1"/>
  <c r="A7436" i="1"/>
  <c r="A1006" i="1"/>
  <c r="A9188" i="1"/>
  <c r="A5631" i="1"/>
  <c r="A3088" i="1"/>
  <c r="A880" i="1"/>
  <c r="A4704" i="1"/>
  <c r="A9560" i="1"/>
  <c r="A4249" i="1"/>
  <c r="A870" i="1"/>
  <c r="A8675" i="1"/>
  <c r="A3059" i="1"/>
  <c r="A9520" i="1"/>
  <c r="A2032" i="1"/>
  <c r="A9521" i="1"/>
  <c r="A2959" i="1"/>
  <c r="A3081" i="1"/>
  <c r="A7253" i="1"/>
  <c r="A9526" i="1"/>
  <c r="A2962" i="1"/>
  <c r="A2981" i="1"/>
  <c r="A6888" i="1"/>
  <c r="A7562" i="1"/>
  <c r="A4209" i="1"/>
  <c r="A3577" i="1"/>
  <c r="A30" i="1"/>
  <c r="A4254" i="1"/>
  <c r="A2045" i="1"/>
  <c r="A4178" i="1"/>
  <c r="A9426" i="1"/>
  <c r="A9429" i="1"/>
  <c r="A1863" i="1"/>
  <c r="A6672" i="1"/>
  <c r="A7843" i="1"/>
  <c r="A7844" i="1"/>
  <c r="A7244" i="1"/>
  <c r="A8068" i="1"/>
  <c r="A60" i="1"/>
  <c r="A5315" i="1"/>
  <c r="A1090" i="1"/>
  <c r="A9558" i="1"/>
  <c r="A1403" i="1"/>
  <c r="A954" i="1"/>
  <c r="A4369" i="1"/>
  <c r="A1649" i="1"/>
  <c r="A8672" i="1"/>
  <c r="A2464" i="1"/>
  <c r="A7510" i="1"/>
  <c r="A8412" i="1"/>
  <c r="A1056" i="1"/>
  <c r="A3914" i="1"/>
  <c r="A2580" i="1"/>
  <c r="A6520" i="1"/>
  <c r="A3352" i="1"/>
  <c r="A7086" i="1"/>
  <c r="A8411" i="1"/>
  <c r="A4482" i="1"/>
  <c r="A2583" i="1"/>
  <c r="A3354" i="1"/>
  <c r="A3350" i="1"/>
  <c r="A7386" i="1"/>
  <c r="A1595" i="1"/>
  <c r="A8664" i="1"/>
  <c r="A3227" i="1"/>
  <c r="A2581" i="1"/>
  <c r="A101" i="1"/>
  <c r="A2768" i="1"/>
  <c r="A7241" i="1"/>
  <c r="A4232" i="1"/>
  <c r="A1871" i="1"/>
  <c r="A3349" i="1"/>
  <c r="A1193" i="1"/>
  <c r="A1903" i="1"/>
  <c r="A5621" i="1"/>
  <c r="A4956" i="1"/>
  <c r="A5622" i="1"/>
  <c r="A8665" i="1"/>
  <c r="A5836" i="1"/>
  <c r="A2239" i="1"/>
  <c r="A1372" i="1"/>
  <c r="A3179" i="1"/>
  <c r="A5993" i="1"/>
  <c r="A8858" i="1"/>
  <c r="A2866" i="1"/>
  <c r="A8185" i="1"/>
  <c r="A3561" i="1"/>
  <c r="A6972" i="1"/>
  <c r="A925" i="1"/>
  <c r="A6336" i="1"/>
  <c r="A7927" i="1"/>
  <c r="A8692" i="1"/>
  <c r="A8832" i="1"/>
  <c r="A6973" i="1"/>
  <c r="A2980" i="1"/>
  <c r="A7546" i="1"/>
  <c r="A3852" i="1"/>
  <c r="A8787" i="1"/>
  <c r="A8663" i="1"/>
  <c r="A2317" i="1"/>
  <c r="A1584" i="1"/>
  <c r="A2157" i="1"/>
  <c r="A1021" i="1"/>
  <c r="A8453" i="1"/>
  <c r="A3856" i="1"/>
  <c r="A5536" i="1"/>
  <c r="A7706" i="1"/>
  <c r="A8935" i="1"/>
  <c r="A8403" i="1"/>
  <c r="A4251" i="1"/>
  <c r="A8983" i="1"/>
  <c r="A1853" i="1"/>
  <c r="A2861" i="1"/>
  <c r="A5305" i="1"/>
  <c r="A8676" i="1"/>
  <c r="A7922" i="1"/>
  <c r="A6925" i="1"/>
  <c r="A1889" i="1"/>
  <c r="A8823" i="1"/>
  <c r="A5300" i="1"/>
  <c r="A5591" i="1"/>
  <c r="A7545" i="1"/>
  <c r="A6927" i="1"/>
  <c r="A4697" i="1"/>
  <c r="A1245" i="1"/>
  <c r="A56" i="1"/>
  <c r="A1008" i="1"/>
  <c r="A7685" i="1"/>
  <c r="A5285" i="1"/>
  <c r="A1246" i="1"/>
  <c r="A2066" i="1"/>
  <c r="A6445" i="1"/>
  <c r="A7921" i="1"/>
  <c r="A2970" i="1"/>
  <c r="A2818" i="1"/>
  <c r="A8683" i="1"/>
  <c r="A6926" i="1"/>
  <c r="A6444" i="1"/>
  <c r="A4185" i="1"/>
  <c r="A1020" i="1"/>
  <c r="A8840" i="1"/>
  <c r="A6450" i="1"/>
  <c r="A3733" i="1"/>
  <c r="A5651" i="1"/>
  <c r="A590" i="1"/>
  <c r="A7543" i="1"/>
  <c r="A1648" i="1"/>
  <c r="A708" i="1"/>
  <c r="A4988" i="1"/>
  <c r="A938" i="1"/>
  <c r="A3855" i="1"/>
  <c r="A2395" i="1"/>
  <c r="A6659" i="1"/>
  <c r="A5906" i="1"/>
  <c r="A1571" i="1"/>
  <c r="A1390" i="1"/>
  <c r="A3862" i="1"/>
  <c r="A8976" i="1"/>
  <c r="A5781" i="1"/>
  <c r="A2397" i="1"/>
  <c r="A2716" i="1"/>
  <c r="A1391" i="1"/>
  <c r="A4523" i="1"/>
  <c r="A3857" i="1"/>
  <c r="A792" i="1"/>
  <c r="A5895" i="1"/>
  <c r="A3690" i="1"/>
  <c r="A4982" i="1"/>
  <c r="A440" i="1"/>
  <c r="A2717" i="1"/>
  <c r="A3860" i="1"/>
  <c r="A2684" i="1"/>
  <c r="A7955" i="1"/>
  <c r="A441" i="1"/>
  <c r="A4383" i="1"/>
  <c r="A6852" i="1"/>
  <c r="A2832" i="1"/>
  <c r="A5908" i="1"/>
  <c r="A8579" i="1"/>
  <c r="A6088" i="1"/>
  <c r="A5907" i="1"/>
  <c r="A9073" i="1"/>
  <c r="A6651" i="1"/>
  <c r="A435" i="1"/>
  <c r="A3861" i="1"/>
  <c r="A1395" i="1"/>
  <c r="A1775" i="1"/>
  <c r="A7721" i="1"/>
  <c r="A701" i="1"/>
  <c r="A6101" i="1"/>
  <c r="A3362" i="1"/>
  <c r="A9074" i="1"/>
  <c r="A4991" i="1"/>
  <c r="A2481" i="1"/>
  <c r="A3767" i="1"/>
  <c r="A2719" i="1"/>
  <c r="A8183" i="1"/>
  <c r="A7342" i="1"/>
  <c r="A3417" i="1"/>
  <c r="A573" i="1"/>
  <c r="A3416" i="1"/>
  <c r="A3744" i="1"/>
  <c r="A5612" i="1"/>
  <c r="A9147" i="1"/>
  <c r="A7122" i="1"/>
  <c r="A7096" i="1"/>
  <c r="A5217" i="1"/>
  <c r="A6351" i="1"/>
  <c r="A4608" i="1"/>
  <c r="A9422" i="1"/>
  <c r="A2627" i="1"/>
  <c r="A7013" i="1"/>
  <c r="A4530" i="1"/>
  <c r="A596" i="1"/>
  <c r="A7474" i="1"/>
  <c r="A3134" i="1"/>
  <c r="A2466" i="1"/>
  <c r="A4485" i="1"/>
  <c r="A7475" i="1"/>
  <c r="A2011" i="1"/>
  <c r="A5732" i="1"/>
  <c r="A2705" i="1"/>
  <c r="A9082" i="1"/>
  <c r="A5279" i="1"/>
  <c r="A7471" i="1"/>
  <c r="A3463" i="1"/>
  <c r="A919" i="1"/>
  <c r="A2913" i="1"/>
  <c r="A7473" i="1"/>
  <c r="A3180" i="1"/>
  <c r="A7472" i="1"/>
  <c r="A1118" i="1"/>
  <c r="A2444" i="1"/>
  <c r="A2953" i="1"/>
  <c r="A7014" i="1"/>
  <c r="A591" i="1"/>
  <c r="A8482" i="1"/>
  <c r="A9387" i="1"/>
  <c r="A3132" i="1"/>
  <c r="A5615" i="1"/>
  <c r="A210" i="1"/>
  <c r="A3293" i="1"/>
  <c r="A974" i="1"/>
  <c r="A5728" i="1"/>
  <c r="A5731" i="1"/>
  <c r="A9421" i="1"/>
  <c r="A4501" i="1"/>
  <c r="A4288" i="1"/>
  <c r="A7869" i="1"/>
  <c r="A8026" i="1"/>
  <c r="A8147" i="1"/>
  <c r="A8004" i="1"/>
  <c r="A2588" i="1"/>
  <c r="A7195" i="1"/>
  <c r="A8019" i="1"/>
  <c r="A3797" i="1"/>
  <c r="A2706" i="1"/>
  <c r="A85" i="1"/>
  <c r="A5351" i="1"/>
  <c r="A5074" i="1"/>
  <c r="A2363" i="1"/>
  <c r="A8533" i="1"/>
  <c r="A7637" i="1"/>
  <c r="A8526" i="1"/>
  <c r="A555" i="1"/>
  <c r="A8369" i="1"/>
  <c r="A1762" i="1"/>
  <c r="A7121" i="1"/>
  <c r="A8766" i="1"/>
  <c r="A6792" i="1"/>
  <c r="A1813" i="1"/>
  <c r="A9418" i="1"/>
  <c r="A1299" i="1"/>
  <c r="A8767" i="1"/>
  <c r="A7783" i="1"/>
  <c r="A8627" i="1"/>
  <c r="A8636" i="1"/>
  <c r="A8132" i="1"/>
  <c r="A107" i="1"/>
  <c r="A9573" i="1"/>
  <c r="A9045" i="1"/>
  <c r="A5407" i="1"/>
  <c r="A1492" i="1"/>
  <c r="A5859" i="1"/>
  <c r="A7021" i="1"/>
  <c r="A5258" i="1"/>
  <c r="A6933" i="1"/>
  <c r="A6172" i="1"/>
  <c r="A4627" i="1"/>
  <c r="A4626" i="1"/>
  <c r="A8062" i="1"/>
  <c r="A6411" i="1"/>
  <c r="A9001" i="1"/>
  <c r="A3932" i="1"/>
  <c r="A4145" i="1"/>
  <c r="A9382" i="1"/>
  <c r="A9051" i="1"/>
  <c r="A8806" i="1"/>
  <c r="A8898" i="1"/>
  <c r="A7276" i="1"/>
  <c r="A2364" i="1"/>
  <c r="A5529" i="1"/>
  <c r="A1291" i="1"/>
  <c r="A9300" i="1"/>
  <c r="A8237" i="1"/>
  <c r="A8381" i="1"/>
  <c r="A1519" i="1"/>
  <c r="A9068" i="1"/>
  <c r="A4565" i="1"/>
  <c r="A2365" i="1"/>
  <c r="A1044" i="1"/>
  <c r="A2282" i="1"/>
  <c r="A8525" i="1"/>
  <c r="A9095" i="1"/>
  <c r="A1812" i="1"/>
  <c r="A9128" i="1"/>
  <c r="A50" i="1"/>
  <c r="A5059" i="1"/>
  <c r="A8338" i="1"/>
  <c r="A4570" i="1"/>
  <c r="A5528" i="1"/>
  <c r="A4358" i="1"/>
  <c r="A2391" i="1"/>
  <c r="A7494" i="1"/>
  <c r="A5211" i="1"/>
  <c r="A71" i="1"/>
  <c r="A109" i="1"/>
  <c r="A72" i="1"/>
  <c r="A2051" i="1"/>
  <c r="A5123" i="1"/>
  <c r="A2125" i="1"/>
  <c r="A9016" i="1"/>
  <c r="A945" i="1"/>
  <c r="A8286" i="1"/>
  <c r="A7343" i="1"/>
  <c r="A8904" i="1"/>
  <c r="A1108" i="1"/>
  <c r="A1682" i="1"/>
  <c r="A6587" i="1"/>
  <c r="A8481" i="1"/>
  <c r="A7861" i="1"/>
  <c r="A5084" i="1"/>
  <c r="A1746" i="1"/>
  <c r="A1066" i="1"/>
  <c r="A7339" i="1"/>
  <c r="A1064" i="1"/>
  <c r="A3296" i="1"/>
  <c r="A7867" i="1"/>
  <c r="A5636" i="1"/>
  <c r="A4603" i="1"/>
  <c r="A8277" i="1"/>
  <c r="A702" i="1"/>
  <c r="A2659" i="1"/>
  <c r="A2200" i="1"/>
  <c r="A1122" i="1"/>
  <c r="A9007" i="1"/>
  <c r="A1497" i="1"/>
  <c r="A331" i="1"/>
  <c r="A9277" i="1"/>
  <c r="A9013" i="1"/>
  <c r="A9015" i="1"/>
  <c r="A4851" i="1"/>
  <c r="A1811" i="1"/>
  <c r="A2835" i="1"/>
  <c r="A7338" i="1"/>
  <c r="A1101" i="1"/>
  <c r="A5196" i="1"/>
  <c r="A4811" i="1"/>
  <c r="A3825" i="1"/>
  <c r="A4963" i="1"/>
  <c r="A6410" i="1"/>
  <c r="A8181" i="1"/>
  <c r="A8087" i="1"/>
  <c r="A1102" i="1"/>
  <c r="A1302" i="1"/>
  <c r="A1502" i="1"/>
  <c r="A4964" i="1"/>
  <c r="A4014" i="1"/>
  <c r="A8851" i="1"/>
  <c r="A9531" i="1"/>
  <c r="A9530" i="1"/>
  <c r="A7309" i="1"/>
  <c r="A1295" i="1"/>
  <c r="A1290" i="1"/>
  <c r="A900" i="1"/>
  <c r="A4409" i="1"/>
  <c r="A7046" i="1"/>
  <c r="A2450" i="1"/>
  <c r="A8900" i="1"/>
  <c r="A8133" i="1"/>
  <c r="A5753" i="1"/>
  <c r="A4718" i="1"/>
  <c r="A1590" i="1"/>
  <c r="A8496" i="1"/>
  <c r="A6235" i="1"/>
  <c r="A8852" i="1"/>
  <c r="A6413" i="1"/>
  <c r="A8899" i="1"/>
  <c r="A6236" i="1"/>
  <c r="A4719" i="1"/>
  <c r="A1026" i="1"/>
  <c r="A3559" i="1"/>
  <c r="A2988" i="1"/>
  <c r="A1031" i="1"/>
  <c r="A3520" i="1"/>
  <c r="A2300" i="1"/>
  <c r="A2296" i="1"/>
  <c r="A5633" i="1"/>
  <c r="A8497" i="1"/>
  <c r="A2779" i="1"/>
  <c r="A2303" i="1"/>
  <c r="A5930" i="1"/>
  <c r="A3433" i="1"/>
  <c r="A1015" i="1"/>
  <c r="A2440" i="1"/>
  <c r="A6869" i="1"/>
  <c r="A997" i="1"/>
  <c r="A8466" i="1"/>
  <c r="A1858" i="1"/>
  <c r="A1016" i="1"/>
  <c r="A2646" i="1"/>
  <c r="A472" i="1"/>
  <c r="A9396" i="1"/>
  <c r="A8486" i="1"/>
  <c r="A1429" i="1"/>
  <c r="A5843" i="1"/>
  <c r="A1768" i="1"/>
  <c r="A3436" i="1"/>
  <c r="A5654" i="1"/>
  <c r="A8487" i="1"/>
  <c r="A1430" i="1"/>
  <c r="A1431" i="1"/>
  <c r="A1432" i="1"/>
  <c r="A8250" i="1"/>
  <c r="A8473" i="1"/>
  <c r="A8474" i="1"/>
  <c r="A2434" i="1"/>
  <c r="A1859" i="1"/>
  <c r="A5436" i="1"/>
  <c r="A8231" i="1"/>
  <c r="A1013" i="1"/>
  <c r="A120" i="1"/>
  <c r="A6621" i="1"/>
  <c r="A1901" i="1"/>
  <c r="A2046" i="1"/>
  <c r="A7015" i="1"/>
  <c r="A2389" i="1"/>
  <c r="A6865" i="1"/>
  <c r="A5437" i="1"/>
  <c r="A5722" i="1"/>
  <c r="A8471" i="1"/>
  <c r="A4651" i="1"/>
  <c r="A642" i="1"/>
  <c r="A116" i="1"/>
  <c r="A9063" i="1"/>
  <c r="A2619" i="1"/>
  <c r="A4525" i="1"/>
  <c r="A4918" i="1"/>
  <c r="A8485" i="1"/>
  <c r="A5171" i="1"/>
  <c r="A9062" i="1"/>
  <c r="A5856" i="1"/>
  <c r="A5154" i="1"/>
  <c r="A7303" i="1"/>
  <c r="A769" i="1"/>
  <c r="A7194" i="1"/>
  <c r="A2029" i="1"/>
  <c r="A2021" i="1"/>
  <c r="A119" i="1"/>
  <c r="A2025" i="1"/>
  <c r="A2026" i="1"/>
  <c r="A4760" i="1"/>
  <c r="A2028" i="1"/>
  <c r="A6788" i="1"/>
  <c r="A6791" i="1"/>
  <c r="A4029" i="1"/>
  <c r="A2022" i="1"/>
  <c r="A2024" i="1"/>
  <c r="A2427" i="1"/>
  <c r="A2545" i="1"/>
  <c r="A8484" i="1"/>
  <c r="A5438" i="1"/>
  <c r="A4089" i="1"/>
  <c r="A1772" i="1"/>
  <c r="A5653" i="1"/>
  <c r="A1007" i="1"/>
  <c r="A4652" i="1"/>
  <c r="A4995" i="1"/>
  <c r="A5628" i="1"/>
  <c r="A5629" i="1"/>
  <c r="A3997" i="1"/>
  <c r="A1767" i="1"/>
  <c r="A4221" i="1"/>
  <c r="A8697" i="1"/>
  <c r="A6606" i="1"/>
  <c r="A6615" i="1"/>
  <c r="A4717" i="1"/>
  <c r="A6867" i="1"/>
  <c r="A6866" i="1"/>
  <c r="A2431" i="1"/>
  <c r="A6864" i="1"/>
  <c r="A477" i="1"/>
  <c r="A8921" i="1"/>
  <c r="A1766" i="1"/>
  <c r="A6870" i="1"/>
  <c r="A8332" i="1"/>
  <c r="A3869" i="1"/>
  <c r="A1764" i="1"/>
  <c r="A3379" i="1"/>
  <c r="A2848" i="1"/>
  <c r="A2340" i="1"/>
  <c r="A1107" i="1"/>
  <c r="A597" i="1"/>
  <c r="A637" i="1"/>
  <c r="A8488" i="1"/>
  <c r="A8069" i="1"/>
  <c r="A4528" i="1"/>
  <c r="A8918" i="1"/>
  <c r="A8919" i="1"/>
  <c r="A4493" i="1"/>
  <c r="A2620" i="1"/>
  <c r="A2027" i="1"/>
  <c r="A2601" i="1"/>
  <c r="A1578" i="1"/>
  <c r="A3056" i="1"/>
  <c r="A2053" i="1"/>
  <c r="A1765" i="1"/>
  <c r="A3432" i="1"/>
  <c r="A5730" i="1"/>
  <c r="A1123" i="1"/>
  <c r="A796" i="1"/>
  <c r="A3147" i="1"/>
  <c r="A8367" i="1"/>
  <c r="A8306" i="1"/>
  <c r="A6421" i="1"/>
  <c r="A7299" i="1"/>
  <c r="A3745" i="1"/>
  <c r="A1711" i="1"/>
  <c r="A6936" i="1"/>
  <c r="A5667" i="1"/>
  <c r="A6959" i="1"/>
  <c r="A6939" i="1"/>
  <c r="A9265" i="1"/>
  <c r="A4362" i="1"/>
  <c r="A5038" i="1"/>
  <c r="A4361" i="1"/>
  <c r="A6938" i="1"/>
  <c r="A7164" i="1"/>
  <c r="A5128" i="1"/>
  <c r="A7470" i="1"/>
  <c r="A1103" i="1"/>
  <c r="A1392" i="1"/>
  <c r="A8152" i="1"/>
  <c r="A3450" i="1"/>
  <c r="A4391" i="1"/>
  <c r="A3254" i="1"/>
  <c r="A4386" i="1"/>
  <c r="A8182" i="1"/>
  <c r="A3195" i="1"/>
  <c r="A1179" i="1"/>
  <c r="A8536" i="1"/>
  <c r="A545" i="1"/>
  <c r="A3459" i="1"/>
  <c r="A2259" i="1"/>
  <c r="A6205" i="1"/>
  <c r="A9276" i="1"/>
  <c r="A1167" i="1"/>
  <c r="A8184" i="1"/>
  <c r="A3456" i="1"/>
  <c r="A4970" i="1"/>
  <c r="A252" i="1"/>
  <c r="A2590" i="1"/>
  <c r="A2275" i="1"/>
  <c r="A9267" i="1"/>
  <c r="A6904" i="1"/>
  <c r="A4168" i="1"/>
  <c r="A2998" i="1"/>
  <c r="A5355" i="1"/>
  <c r="A4967" i="1"/>
  <c r="A2957" i="1"/>
  <c r="A489" i="1"/>
  <c r="A4385" i="1"/>
  <c r="A3113" i="1"/>
  <c r="A1356" i="1"/>
  <c r="A4284" i="1"/>
  <c r="A1181" i="1"/>
  <c r="A4966" i="1"/>
  <c r="A8146" i="1"/>
  <c r="A4494" i="1"/>
  <c r="A3460" i="1"/>
  <c r="A8140" i="1"/>
  <c r="A4969" i="1"/>
  <c r="A5995" i="1"/>
  <c r="A884" i="1"/>
  <c r="A3485" i="1"/>
  <c r="A3218" i="1"/>
  <c r="A8529" i="1"/>
  <c r="A2020" i="1"/>
  <c r="A4484" i="1"/>
  <c r="A3486" i="1"/>
  <c r="A2031" i="1"/>
  <c r="A6958" i="1"/>
  <c r="A4384" i="1"/>
  <c r="A8161" i="1"/>
  <c r="A8162" i="1"/>
  <c r="A4497" i="1"/>
  <c r="A2586" i="1"/>
  <c r="A8122" i="1"/>
  <c r="A6204" i="1"/>
  <c r="A4390" i="1"/>
  <c r="A3114" i="1"/>
  <c r="A4198" i="1"/>
  <c r="A4498" i="1"/>
  <c r="A3497" i="1"/>
  <c r="A4243" i="1"/>
  <c r="A3150" i="1"/>
  <c r="A4495" i="1"/>
  <c r="A4971" i="1"/>
  <c r="A8242" i="1"/>
  <c r="A4135" i="1"/>
  <c r="A2269" i="1"/>
  <c r="A3476" i="1"/>
  <c r="A3203" i="1"/>
  <c r="A3500" i="1"/>
  <c r="A6934" i="1"/>
  <c r="A8163" i="1"/>
  <c r="A8553" i="1"/>
  <c r="A3499" i="1"/>
  <c r="A3452" i="1"/>
  <c r="A1180" i="1"/>
  <c r="A2274" i="1"/>
  <c r="A4134" i="1"/>
  <c r="A5145" i="1"/>
  <c r="A490" i="1"/>
  <c r="A2272" i="1"/>
  <c r="A2270" i="1"/>
  <c r="A256" i="1"/>
  <c r="A8490" i="1"/>
  <c r="A3492" i="1"/>
  <c r="A4965" i="1"/>
  <c r="A3455" i="1"/>
  <c r="A8391" i="1"/>
  <c r="A4138" i="1"/>
  <c r="A868" i="1"/>
  <c r="A4146" i="1"/>
  <c r="A2278" i="1"/>
  <c r="A4387" i="1"/>
  <c r="A2097" i="1"/>
  <c r="A2371" i="1"/>
  <c r="A4818" i="1"/>
  <c r="A2276" i="1"/>
  <c r="A2271" i="1"/>
  <c r="A2119" i="1"/>
  <c r="A2015" i="1"/>
  <c r="A4291" i="1"/>
  <c r="A8393" i="1"/>
  <c r="A8532" i="1"/>
  <c r="A8387" i="1"/>
  <c r="A4292" i="1"/>
  <c r="A506" i="1"/>
  <c r="A8385" i="1"/>
  <c r="A5871" i="1"/>
  <c r="A8652" i="1"/>
  <c r="A8384" i="1"/>
  <c r="A1099" i="1"/>
  <c r="A2268" i="1"/>
  <c r="A8388" i="1"/>
  <c r="A4207" i="1"/>
  <c r="A3879" i="1"/>
  <c r="A3864" i="1"/>
  <c r="A457" i="1"/>
  <c r="A3465" i="1"/>
  <c r="A4133" i="1"/>
  <c r="A6422" i="1"/>
  <c r="A2277" i="1"/>
  <c r="A4132" i="1"/>
  <c r="A7521" i="1"/>
  <c r="A2273" i="1"/>
  <c r="A8765" i="1"/>
  <c r="A903" i="1"/>
  <c r="A6354" i="1"/>
  <c r="A2840" i="1"/>
  <c r="A8637" i="1"/>
  <c r="A8148" i="1"/>
  <c r="A9138" i="1"/>
  <c r="A4620" i="1"/>
  <c r="A7058" i="1"/>
  <c r="A9102" i="1"/>
  <c r="A3481" i="1"/>
  <c r="A2052" i="1"/>
  <c r="A7825" i="1"/>
  <c r="A6868" i="1"/>
  <c r="A4160" i="1"/>
  <c r="A3570" i="1"/>
  <c r="A6073" i="1"/>
  <c r="A2653" i="1"/>
  <c r="A6696" i="1"/>
  <c r="A5603" i="1"/>
  <c r="A2847" i="1"/>
  <c r="A8063" i="1"/>
  <c r="A1485" i="1"/>
  <c r="A2433" i="1"/>
  <c r="A2611" i="1"/>
  <c r="A2488" i="1"/>
  <c r="A1327" i="1"/>
  <c r="A1028" i="1"/>
  <c r="A2853" i="1"/>
  <c r="A8064" i="1"/>
  <c r="A3493" i="1"/>
  <c r="A1009" i="1"/>
  <c r="A6320" i="1"/>
  <c r="A6300" i="1"/>
  <c r="A260" i="1"/>
  <c r="A2990" i="1"/>
  <c r="A7341" i="1"/>
  <c r="A8877" i="1"/>
  <c r="A8800" i="1"/>
  <c r="A2462" i="1"/>
  <c r="A6415" i="1"/>
  <c r="A9105" i="1"/>
  <c r="A8884" i="1"/>
  <c r="A5692" i="1"/>
  <c r="A5910" i="1"/>
  <c r="A6692" i="1"/>
  <c r="A8881" i="1"/>
  <c r="A8118" i="1"/>
  <c r="A5294" i="1"/>
  <c r="A9272" i="1"/>
  <c r="A7850" i="1"/>
  <c r="A8880" i="1"/>
  <c r="A9037" i="1"/>
  <c r="A7865" i="1"/>
  <c r="A7847" i="1"/>
  <c r="A4560" i="1"/>
  <c r="A8882" i="1"/>
  <c r="A3135" i="1"/>
  <c r="A5602" i="1"/>
  <c r="A1484" i="1"/>
  <c r="A9152" i="1"/>
  <c r="A7901" i="1"/>
  <c r="A6691" i="1"/>
  <c r="A6412" i="1"/>
  <c r="A2260" i="1"/>
  <c r="A8802" i="1"/>
  <c r="A8793" i="1"/>
  <c r="A8850" i="1"/>
  <c r="A2514" i="1"/>
  <c r="A1062" i="1"/>
  <c r="A9363" i="1"/>
  <c r="A8878" i="1"/>
  <c r="A4193" i="1"/>
  <c r="A4114" i="1"/>
  <c r="A9420" i="1"/>
  <c r="A3837" i="1"/>
  <c r="A2302" i="1"/>
  <c r="A2050" i="1"/>
  <c r="A5613" i="1"/>
  <c r="A9027" i="1"/>
  <c r="A7057" i="1"/>
  <c r="A5943" i="1"/>
  <c r="A1419" i="1"/>
  <c r="A3549" i="1"/>
  <c r="A4490" i="1"/>
  <c r="A3482" i="1"/>
  <c r="A1425" i="1"/>
  <c r="A8503" i="1"/>
  <c r="A3513" i="1"/>
  <c r="A3572" i="1"/>
  <c r="A1024" i="1"/>
  <c r="A6194" i="1"/>
  <c r="A9134" i="1"/>
  <c r="A4194" i="1"/>
  <c r="A8504" i="1"/>
  <c r="A9054" i="1"/>
  <c r="A3676" i="1"/>
  <c r="A1164" i="1"/>
  <c r="A6304" i="1"/>
  <c r="A2650" i="1"/>
  <c r="A2124" i="1"/>
  <c r="A8505" i="1"/>
  <c r="A6292" i="1"/>
  <c r="A2589" i="1"/>
  <c r="A5944" i="1"/>
  <c r="A6427" i="1"/>
  <c r="A3131" i="1"/>
  <c r="A2123" i="1"/>
  <c r="A4161" i="1"/>
  <c r="A2121" i="1"/>
  <c r="A1165" i="1"/>
  <c r="A1420" i="1"/>
  <c r="A3514" i="1"/>
  <c r="A3550" i="1"/>
  <c r="A940" i="1"/>
  <c r="A5733" i="1"/>
  <c r="A6074" i="1"/>
  <c r="A1029" i="1"/>
  <c r="A9133" i="1"/>
  <c r="A5945" i="1"/>
  <c r="A1030" i="1"/>
  <c r="A3576" i="1"/>
  <c r="A5729" i="1"/>
  <c r="A9108" i="1"/>
  <c r="A1168" i="1"/>
  <c r="A3558" i="1"/>
  <c r="A4253" i="1"/>
  <c r="A2019" i="1"/>
  <c r="A5627" i="1"/>
  <c r="A2219" i="1"/>
  <c r="A901" i="1"/>
  <c r="A6583" i="1"/>
  <c r="A6350" i="1"/>
  <c r="A5754" i="1"/>
  <c r="A9423" i="1"/>
  <c r="A2178" i="1"/>
  <c r="A3527" i="1"/>
  <c r="A1774" i="1"/>
  <c r="A5665" i="1"/>
  <c r="A6790" i="1"/>
  <c r="A203" i="1"/>
  <c r="A2229" i="1"/>
  <c r="A930" i="1"/>
  <c r="A3461" i="1"/>
  <c r="A3300" i="1"/>
  <c r="A4487" i="1"/>
  <c r="A3683" i="1"/>
  <c r="A7041" i="1"/>
  <c r="A6789" i="1"/>
  <c r="A1362" i="1"/>
  <c r="A8104" i="1"/>
  <c r="A9114" i="1"/>
  <c r="A3764" i="1"/>
  <c r="A6877" i="1"/>
  <c r="A1779" i="1"/>
  <c r="A4312" i="1"/>
  <c r="A1398" i="1"/>
  <c r="A6584" i="1"/>
  <c r="A332" i="1"/>
  <c r="A4257" i="1"/>
  <c r="A1400" i="1"/>
  <c r="A6787" i="1"/>
  <c r="A2503" i="1"/>
  <c r="A5844" i="1"/>
  <c r="A5939" i="1"/>
  <c r="A4052" i="1"/>
  <c r="A7062" i="1"/>
  <c r="A4631" i="1"/>
  <c r="A6605" i="1"/>
  <c r="A4473" i="1"/>
  <c r="A6372" i="1"/>
  <c r="A3297" i="1"/>
  <c r="A8548" i="1"/>
  <c r="A6385" i="1"/>
  <c r="A6380" i="1"/>
  <c r="A6381" i="1"/>
  <c r="A121" i="1"/>
  <c r="A463" i="1"/>
  <c r="A6284" i="1"/>
  <c r="A7394" i="1"/>
  <c r="A7380" i="1"/>
  <c r="A6363" i="1"/>
  <c r="A2513" i="1"/>
  <c r="A6321" i="1"/>
  <c r="A8545" i="1"/>
  <c r="A3378" i="1"/>
  <c r="A8562" i="1"/>
  <c r="A6532" i="1"/>
  <c r="A2049" i="1"/>
  <c r="A6384" i="1"/>
  <c r="A5723" i="1"/>
  <c r="A4474" i="1"/>
  <c r="A7978" i="1"/>
  <c r="A6316" i="1"/>
  <c r="A469" i="1"/>
  <c r="A4475" i="1"/>
  <c r="A8155" i="1"/>
  <c r="A9088" i="1"/>
  <c r="A6793" i="1"/>
  <c r="A8109" i="1"/>
  <c r="A7022" i="1"/>
  <c r="A2181" i="1"/>
  <c r="A6195" i="1"/>
  <c r="A3010" i="1"/>
  <c r="A206" i="1"/>
  <c r="A5614" i="1"/>
  <c r="A204" i="1"/>
  <c r="A8546" i="1"/>
  <c r="A7702" i="1"/>
  <c r="A4149" i="1"/>
  <c r="A4632" i="1"/>
  <c r="A6301" i="1"/>
  <c r="A8551" i="1"/>
  <c r="A482" i="1"/>
  <c r="A3716" i="1"/>
  <c r="A3786" i="1"/>
  <c r="A3294" i="1"/>
  <c r="A8508" i="1"/>
  <c r="A4225" i="1"/>
  <c r="A1027" i="1"/>
  <c r="A8651" i="1"/>
  <c r="A2460" i="1"/>
  <c r="A8547" i="1"/>
  <c r="A1952" i="1"/>
  <c r="A8550" i="1"/>
  <c r="A2496" i="1"/>
  <c r="A8544" i="1"/>
  <c r="A1951" i="1"/>
  <c r="A8549" i="1"/>
  <c r="A2634" i="1"/>
  <c r="A4633" i="1"/>
  <c r="A6409" i="1"/>
  <c r="A2457" i="1"/>
  <c r="A8543" i="1"/>
  <c r="A8797" i="1"/>
  <c r="A4226" i="1"/>
  <c r="A2655" i="1"/>
  <c r="A5503" i="1"/>
  <c r="A3464" i="1"/>
  <c r="A3580" i="1"/>
  <c r="A2456" i="1"/>
  <c r="A8650" i="1"/>
  <c r="A1036" i="1"/>
  <c r="A643" i="1"/>
  <c r="A8632" i="1"/>
  <c r="A2047" i="1"/>
  <c r="A8208" i="1"/>
  <c r="A1048" i="1"/>
  <c r="A4159" i="1"/>
  <c r="A3772" i="1"/>
  <c r="A478" i="1"/>
  <c r="A466" i="1"/>
  <c r="A6264" i="1"/>
  <c r="A8110" i="1"/>
  <c r="A3484" i="1"/>
  <c r="A2048" i="1"/>
  <c r="A8502" i="1"/>
  <c r="A8102" i="1"/>
  <c r="A2418" i="1"/>
  <c r="A2495" i="1"/>
  <c r="A1340" i="1"/>
  <c r="A1810" i="1"/>
  <c r="A5690" i="1"/>
  <c r="A3791" i="1"/>
  <c r="A1402" i="1"/>
  <c r="A51" i="1"/>
  <c r="A2609" i="1"/>
  <c r="A9247" i="1"/>
  <c r="A3838" i="1"/>
  <c r="A4289" i="1"/>
  <c r="A8153" i="1"/>
  <c r="A8246" i="1"/>
  <c r="A8244" i="1"/>
  <c r="A8916" i="1"/>
  <c r="A6981" i="1"/>
  <c r="A4214" i="1"/>
  <c r="A1053" i="1"/>
  <c r="A6998" i="1"/>
  <c r="A1052" i="1"/>
  <c r="A8248" i="1"/>
  <c r="A1050" i="1"/>
  <c r="A4286" i="1"/>
  <c r="A4213" i="1"/>
  <c r="A6799" i="1"/>
  <c r="A7198" i="1"/>
  <c r="A1761" i="1"/>
  <c r="A592" i="1"/>
  <c r="A3839" i="1"/>
  <c r="A589" i="1"/>
  <c r="A5120" i="1"/>
  <c r="A8247" i="1"/>
  <c r="A2067" i="1"/>
  <c r="A6010" i="1"/>
  <c r="A8808" i="1"/>
  <c r="A8974" i="1"/>
  <c r="A8788" i="1"/>
  <c r="A7988" i="1"/>
  <c r="A5077" i="1"/>
  <c r="A1150" i="1"/>
  <c r="A9366" i="1"/>
  <c r="A5727" i="1"/>
  <c r="A8245" i="1"/>
  <c r="A8071" i="1"/>
  <c r="A6009" i="1"/>
  <c r="A6782" i="1"/>
  <c r="A2993" i="1"/>
  <c r="A5767" i="1"/>
  <c r="A4883" i="1"/>
  <c r="A8476" i="1"/>
  <c r="A1293" i="1"/>
  <c r="A3840" i="1"/>
  <c r="A9038" i="1"/>
  <c r="A5720" i="1"/>
  <c r="A5718" i="1"/>
  <c r="A5719" i="1"/>
  <c r="A3138" i="1"/>
  <c r="A2992" i="1"/>
  <c r="A904" i="1"/>
  <c r="A8694" i="1"/>
  <c r="A4544" i="1"/>
  <c r="A9139" i="1"/>
  <c r="A4095" i="1"/>
  <c r="A8696" i="1"/>
  <c r="A4013" i="1"/>
  <c r="A905" i="1"/>
  <c r="A4066" i="1"/>
  <c r="A906" i="1"/>
  <c r="A902" i="1"/>
  <c r="A6408" i="1"/>
  <c r="A7115" i="1"/>
  <c r="A4815" i="1"/>
  <c r="A2834" i="1"/>
  <c r="A1032" i="1"/>
  <c r="A3911" i="1"/>
  <c r="A1732" i="1"/>
  <c r="A4812" i="1"/>
  <c r="A7181" i="1"/>
  <c r="A6295" i="1"/>
  <c r="A7023" i="1"/>
  <c r="A5758" i="1"/>
  <c r="A2329" i="1"/>
  <c r="A6416" i="1"/>
  <c r="A4814" i="1"/>
  <c r="A4807" i="1"/>
  <c r="A5357" i="1"/>
  <c r="A2660" i="1"/>
  <c r="A4592" i="1"/>
  <c r="A6234" i="1"/>
  <c r="A4813" i="1"/>
  <c r="A3834" i="1"/>
  <c r="A3824" i="1"/>
  <c r="A36" i="1"/>
  <c r="A6576" i="1"/>
  <c r="A38" i="1"/>
  <c r="A8174" i="1"/>
  <c r="A1104" i="1"/>
  <c r="A8173" i="1"/>
  <c r="A8822" i="1"/>
  <c r="A2301" i="1"/>
  <c r="A1025" i="1"/>
  <c r="A6348" i="1"/>
  <c r="A7123" i="1"/>
  <c r="A8172" i="1"/>
  <c r="A5007" i="1"/>
  <c r="A3534" i="1"/>
  <c r="A5626" i="1"/>
  <c r="A8171" i="1"/>
  <c r="A5637" i="1"/>
  <c r="A4140" i="1"/>
  <c r="A660" i="1"/>
  <c r="A2483" i="1"/>
  <c r="A574" i="1"/>
  <c r="A716" i="1"/>
  <c r="A8263" i="1"/>
  <c r="A3360" i="1"/>
  <c r="A3998" i="1"/>
  <c r="A3921" i="1"/>
  <c r="A9532" i="1"/>
  <c r="A8249" i="1"/>
  <c r="A1838" i="1"/>
  <c r="A7161" i="1"/>
  <c r="A6214" i="1"/>
  <c r="A4141" i="1"/>
  <c r="A2323" i="1"/>
  <c r="A2253" i="1"/>
  <c r="A8116" i="1"/>
  <c r="A6947" i="1"/>
  <c r="A5155" i="1"/>
  <c r="A6319" i="1"/>
  <c r="A3064" i="1"/>
  <c r="A657" i="1"/>
  <c r="A3314" i="1"/>
  <c r="A3909" i="1"/>
  <c r="A3910" i="1"/>
  <c r="A6948" i="1"/>
  <c r="A5158" i="1"/>
  <c r="A3913" i="1"/>
  <c r="A5586" i="1"/>
  <c r="A4727" i="1"/>
  <c r="A5212" i="1"/>
  <c r="A421" i="1"/>
  <c r="A8187" i="1"/>
  <c r="A6437" i="1"/>
  <c r="A4726" i="1"/>
  <c r="A3024" i="1"/>
  <c r="A3908" i="1"/>
  <c r="A3453" i="1"/>
  <c r="A6438" i="1"/>
  <c r="A3907" i="1"/>
  <c r="A8691" i="1"/>
  <c r="A2223" i="1"/>
  <c r="A3821" i="1"/>
  <c r="A912" i="1"/>
  <c r="A6436" i="1"/>
  <c r="A6435" i="1"/>
  <c r="A2335" i="1"/>
  <c r="A3212" i="1"/>
  <c r="A1809" i="1"/>
  <c r="A979" i="1"/>
  <c r="A3312" i="1"/>
  <c r="A3173" i="1"/>
  <c r="A1978" i="1"/>
  <c r="A4729" i="1"/>
  <c r="A2615" i="1"/>
  <c r="A5693" i="1"/>
  <c r="A7745" i="1"/>
  <c r="A6366" i="1"/>
  <c r="A5293" i="1"/>
  <c r="A1841" i="1"/>
  <c r="A2773" i="1"/>
  <c r="A6414" i="1"/>
  <c r="A2336" i="1"/>
  <c r="A3139" i="1"/>
  <c r="A5381" i="1"/>
  <c r="A6697" i="1"/>
  <c r="A4751" i="1"/>
  <c r="A6199" i="1"/>
  <c r="A5834" i="1"/>
  <c r="A6201" i="1"/>
  <c r="A1093" i="1"/>
  <c r="A8151" i="1"/>
  <c r="A2780" i="1"/>
  <c r="A8563" i="1"/>
  <c r="A8642" i="1"/>
  <c r="A8059" i="1"/>
  <c r="A8980" i="1"/>
  <c r="A4752" i="1"/>
  <c r="A3077" i="1"/>
  <c r="A8580" i="1"/>
  <c r="A697" i="1"/>
  <c r="A5447" i="1"/>
  <c r="A7753" i="1"/>
  <c r="A29" i="1"/>
  <c r="A4728" i="1"/>
  <c r="A1827" i="1"/>
  <c r="A2448" i="1"/>
  <c r="A9262" i="1"/>
  <c r="A2213" i="1"/>
  <c r="A6957" i="1"/>
  <c r="A8103" i="1"/>
  <c r="A388" i="1"/>
  <c r="A2474" i="1"/>
  <c r="A7827" i="1"/>
  <c r="A2895" i="1"/>
  <c r="A9011" i="1"/>
  <c r="A6049" i="1"/>
  <c r="A7824" i="1"/>
  <c r="A3357" i="1"/>
  <c r="A2314" i="1"/>
  <c r="A5179" i="1"/>
  <c r="A947" i="1"/>
  <c r="A2809" i="1"/>
  <c r="A2579" i="1"/>
  <c r="A4305" i="1"/>
  <c r="A948" i="1"/>
  <c r="A7098" i="1"/>
  <c r="A2108" i="1"/>
  <c r="A953" i="1"/>
  <c r="A2910" i="1"/>
  <c r="A952" i="1"/>
  <c r="A944" i="1"/>
  <c r="A2578" i="1"/>
  <c r="A5873" i="1"/>
  <c r="A5180" i="1"/>
  <c r="A7649" i="1"/>
  <c r="A6371" i="1"/>
  <c r="A3366" i="1"/>
  <c r="A4551" i="1"/>
  <c r="A1162" i="1"/>
  <c r="A2490" i="1"/>
  <c r="A2473" i="1"/>
  <c r="A7803" i="1"/>
  <c r="A4572" i="1"/>
  <c r="A7639" i="1"/>
  <c r="A2873" i="1"/>
  <c r="A5883" i="1"/>
  <c r="A4552" i="1"/>
  <c r="A1159" i="1"/>
  <c r="A5398" i="1"/>
  <c r="A7805" i="1"/>
  <c r="A1158" i="1"/>
  <c r="A3087" i="1"/>
  <c r="A1156" i="1"/>
  <c r="A2507" i="1"/>
  <c r="A2469" i="1"/>
  <c r="A5656" i="1"/>
  <c r="A8673" i="1"/>
  <c r="A4540" i="1"/>
  <c r="A5884" i="1"/>
  <c r="A5880" i="1"/>
  <c r="A5657" i="1"/>
  <c r="A7804" i="1"/>
  <c r="A6" i="1"/>
  <c r="A8424" i="1"/>
  <c r="A5662" i="1"/>
  <c r="A122" i="1"/>
  <c r="A9036" i="1"/>
  <c r="A729" i="1"/>
  <c r="A3275" i="1"/>
  <c r="A7641" i="1"/>
  <c r="A3084" i="1"/>
  <c r="A714" i="1"/>
  <c r="A718" i="1"/>
  <c r="A4408" i="1"/>
  <c r="A2016" i="1"/>
  <c r="A8662" i="1"/>
  <c r="A7792" i="1"/>
  <c r="A7113" i="1"/>
  <c r="A1349" i="1"/>
  <c r="A2894" i="1"/>
  <c r="A7823" i="1"/>
  <c r="A7300" i="1"/>
  <c r="A7791" i="1"/>
  <c r="A7200" i="1"/>
  <c r="A1169" i="1"/>
  <c r="A2877" i="1"/>
  <c r="A5253" i="1"/>
  <c r="A7797" i="1"/>
  <c r="A2582" i="1"/>
  <c r="A2891" i="1"/>
  <c r="A5254" i="1"/>
  <c r="A3796" i="1"/>
  <c r="A7733" i="1"/>
  <c r="A1370" i="1"/>
  <c r="A7728" i="1"/>
  <c r="A1369" i="1"/>
  <c r="A7796" i="1"/>
  <c r="A7" i="1"/>
  <c r="A7564" i="1"/>
  <c r="A2896" i="1"/>
  <c r="A8798" i="1"/>
  <c r="A2491" i="1"/>
  <c r="A4703" i="1"/>
  <c r="A2632" i="1"/>
  <c r="A7554" i="1"/>
  <c r="A3903" i="1"/>
  <c r="A3264" i="1"/>
  <c r="A7977" i="1"/>
  <c r="A4224" i="1"/>
  <c r="A6876" i="1"/>
  <c r="A2498" i="1"/>
  <c r="A1973" i="1"/>
  <c r="A2497" i="1"/>
  <c r="A5238" i="1"/>
  <c r="A2057" i="1"/>
  <c r="A9561" i="1"/>
  <c r="A6092" i="1"/>
  <c r="A4037" i="1"/>
  <c r="A7558" i="1"/>
  <c r="A6091" i="1"/>
  <c r="A7644" i="1"/>
  <c r="A764" i="1"/>
  <c r="A4142" i="1"/>
  <c r="A760" i="1"/>
  <c r="A2976" i="1"/>
  <c r="A1157" i="1"/>
  <c r="A5714" i="1"/>
  <c r="A7610" i="1"/>
  <c r="A2387" i="1"/>
  <c r="A6302" i="1"/>
  <c r="A8865" i="1"/>
  <c r="A2377" i="1"/>
  <c r="A7059" i="1"/>
  <c r="A4695" i="1"/>
  <c r="A6669" i="1"/>
  <c r="A507" i="1"/>
  <c r="A8038" i="1"/>
  <c r="A6317" i="1"/>
  <c r="A1957" i="1"/>
  <c r="A8217" i="1"/>
  <c r="A5599" i="1"/>
  <c r="A1373" i="1"/>
  <c r="A7372" i="1"/>
  <c r="A4099" i="1"/>
  <c r="A6689" i="1"/>
  <c r="A5446" i="1"/>
  <c r="A7941" i="1"/>
  <c r="A3956" i="1"/>
  <c r="A9557" i="1"/>
  <c r="A1017" i="1"/>
  <c r="A7557" i="1"/>
  <c r="A7907" i="1"/>
  <c r="A4975" i="1"/>
  <c r="A2958" i="1"/>
  <c r="A6270" i="1"/>
  <c r="A2977" i="1"/>
  <c r="A6333" i="1"/>
  <c r="A7794" i="1"/>
  <c r="A5992" i="1"/>
  <c r="A5994" i="1"/>
  <c r="A6687" i="1"/>
  <c r="A6875" i="1"/>
  <c r="A5460" i="1"/>
  <c r="A5317" i="1"/>
  <c r="A9407" i="1"/>
  <c r="A8864" i="1"/>
  <c r="A2515" i="1"/>
  <c r="A8862" i="1"/>
  <c r="A6686" i="1"/>
  <c r="A8773" i="1"/>
  <c r="A9253" i="1"/>
  <c r="A6387" i="1"/>
  <c r="A2518" i="1"/>
  <c r="A4765" i="1"/>
  <c r="A6275" i="1"/>
  <c r="A5100" i="1"/>
  <c r="A2509" i="1"/>
  <c r="A707" i="1"/>
  <c r="A894" i="1"/>
  <c r="A8866" i="1"/>
  <c r="A188" i="1"/>
  <c r="A8863" i="1"/>
  <c r="A5295" i="1"/>
  <c r="A8745" i="1"/>
  <c r="A7560" i="1"/>
  <c r="A6297" i="1"/>
  <c r="A3057" i="1"/>
  <c r="A5841" i="1"/>
  <c r="A6298" i="1"/>
  <c r="A661" i="1"/>
  <c r="A7535" i="1"/>
  <c r="A8776" i="1"/>
  <c r="A2499" i="1"/>
  <c r="A7544" i="1"/>
  <c r="A7995" i="1"/>
  <c r="A494" i="1"/>
  <c r="A5604" i="1"/>
  <c r="A325" i="1"/>
  <c r="A5086" i="1"/>
  <c r="A4144" i="1"/>
  <c r="A2446" i="1"/>
  <c r="A7991" i="1"/>
  <c r="A6407" i="1"/>
  <c r="A4255" i="1"/>
  <c r="A495" i="1"/>
  <c r="A7118" i="1"/>
  <c r="A7246" i="1"/>
  <c r="A6463" i="1"/>
  <c r="A2386" i="1"/>
  <c r="A1445" i="1"/>
  <c r="A6694" i="1"/>
  <c r="A7968" i="1"/>
  <c r="A1830" i="1"/>
  <c r="A5708" i="1"/>
  <c r="A2449" i="1"/>
  <c r="A7645" i="1"/>
  <c r="A7326" i="1"/>
  <c r="A8867" i="1"/>
  <c r="A9307" i="1"/>
  <c r="A7784" i="1"/>
  <c r="A5417" i="1"/>
  <c r="A4478" i="1"/>
  <c r="A8647" i="1"/>
  <c r="A7556" i="1"/>
  <c r="A730" i="1"/>
  <c r="A862" i="1"/>
  <c r="A2159" i="1"/>
  <c r="A949" i="1"/>
  <c r="A5488" i="1"/>
  <c r="A9402" i="1"/>
  <c r="A4477" i="1"/>
  <c r="A715" i="1"/>
  <c r="A1723" i="1"/>
  <c r="A7752" i="1"/>
  <c r="A1409" i="1"/>
  <c r="A8006" i="1"/>
  <c r="A1708" i="1"/>
  <c r="A1802" i="1"/>
  <c r="A8875" i="1"/>
  <c r="A8956" i="1"/>
  <c r="A4509" i="1"/>
  <c r="A1797" i="1"/>
  <c r="A7319" i="1"/>
  <c r="A1791" i="1"/>
  <c r="A8027" i="1"/>
  <c r="A1800" i="1"/>
  <c r="A1801" i="1"/>
  <c r="A1105" i="1"/>
  <c r="A7903" i="1"/>
  <c r="A9153" i="1"/>
  <c r="A2164" i="1"/>
  <c r="A4508" i="1"/>
  <c r="A4302" i="1"/>
  <c r="A8422" i="1"/>
  <c r="A2205" i="1"/>
  <c r="A8423" i="1"/>
  <c r="A2109" i="1"/>
  <c r="A1163" i="1"/>
  <c r="A2151" i="1"/>
  <c r="A1371" i="1"/>
  <c r="A2106" i="1"/>
  <c r="A6433" i="1"/>
  <c r="A6434" i="1"/>
  <c r="A7052" i="1"/>
  <c r="A2501" i="1"/>
  <c r="A5882" i="1"/>
  <c r="A3516" i="1"/>
  <c r="A8962" i="1"/>
  <c r="A8932" i="1"/>
  <c r="A5592" i="1"/>
  <c r="A4687" i="1"/>
  <c r="A8937" i="1"/>
  <c r="A2136" i="1"/>
  <c r="A3511" i="1"/>
  <c r="A6462" i="1"/>
  <c r="A7648" i="1"/>
  <c r="A956" i="1"/>
  <c r="A4306" i="1"/>
  <c r="A950" i="1"/>
  <c r="A2107" i="1"/>
  <c r="A5181" i="1"/>
  <c r="A9189" i="1"/>
  <c r="A1706" i="1"/>
  <c r="A1368" i="1"/>
  <c r="A698" i="1"/>
  <c r="A5660" i="1"/>
  <c r="A7455" i="1"/>
  <c r="A4518" i="1"/>
  <c r="A4519" i="1"/>
  <c r="A4517" i="1"/>
  <c r="A1198" i="1"/>
  <c r="A5929" i="1"/>
  <c r="A9308" i="1"/>
  <c r="A4596" i="1"/>
  <c r="A8964" i="1"/>
  <c r="A7939" i="1"/>
  <c r="A7206" i="1"/>
  <c r="A628" i="1"/>
  <c r="A8837" i="1"/>
  <c r="A501" i="1"/>
  <c r="A8085" i="1"/>
  <c r="A6268" i="1"/>
  <c r="A6585" i="1"/>
  <c r="A6451" i="1"/>
  <c r="A580" i="1"/>
  <c r="A6378" i="1"/>
  <c r="A5055" i="1"/>
  <c r="A7936" i="1"/>
  <c r="A1038" i="1"/>
  <c r="A3089" i="1"/>
  <c r="A1049" i="1"/>
  <c r="A1039" i="1"/>
  <c r="A7642" i="1"/>
  <c r="A8868" i="1"/>
  <c r="A5580" i="1"/>
  <c r="A8998" i="1"/>
  <c r="A7679" i="1"/>
  <c r="A3593" i="1"/>
  <c r="A7551" i="1"/>
  <c r="A456" i="1"/>
  <c r="A1740" i="1"/>
  <c r="A3090" i="1"/>
  <c r="A7324" i="1"/>
  <c r="A7650" i="1"/>
  <c r="A8670" i="1"/>
  <c r="A7550" i="1"/>
  <c r="A1867" i="1"/>
  <c r="A2922" i="1"/>
  <c r="A7325" i="1"/>
  <c r="A4942" i="1"/>
  <c r="A7693" i="1"/>
  <c r="A7802" i="1"/>
  <c r="A7937" i="1"/>
  <c r="A1079" i="1"/>
  <c r="A5412" i="1"/>
  <c r="A240" i="1"/>
  <c r="A7542" i="1"/>
  <c r="A3543" i="1"/>
  <c r="A7725" i="1"/>
  <c r="A2435" i="1"/>
  <c r="A4947" i="1"/>
  <c r="A6266" i="1"/>
  <c r="A2436" i="1"/>
  <c r="A2905" i="1"/>
  <c r="A5056" i="1"/>
  <c r="A4946" i="1"/>
  <c r="A2921" i="1"/>
  <c r="A4556" i="1"/>
  <c r="A4547" i="1"/>
  <c r="A6047" i="1"/>
  <c r="A1080" i="1"/>
  <c r="A5410" i="1"/>
  <c r="A3000" i="1"/>
  <c r="A1166" i="1"/>
  <c r="A4666" i="1"/>
  <c r="A4744" i="1"/>
  <c r="A4665" i="1"/>
  <c r="A624" i="1"/>
  <c r="A8728" i="1"/>
  <c r="A7180" i="1"/>
  <c r="A8436" i="1"/>
  <c r="A955" i="1"/>
  <c r="A3091" i="1"/>
  <c r="A1835" i="1"/>
  <c r="A7333" i="1"/>
  <c r="A7938" i="1"/>
  <c r="A4164" i="1"/>
  <c r="A4228" i="1"/>
  <c r="A9395" i="1"/>
  <c r="A3628" i="1"/>
  <c r="A5162" i="1"/>
  <c r="A3397" i="1"/>
  <c r="A345" i="1"/>
  <c r="A7609" i="1"/>
  <c r="A3924" i="1"/>
  <c r="A3061" i="1"/>
  <c r="A9181" i="1"/>
  <c r="A7205" i="1"/>
  <c r="A509" i="1"/>
  <c r="A541" i="1"/>
  <c r="A5585" i="1"/>
  <c r="A2899" i="1"/>
  <c r="A191" i="1"/>
  <c r="A7614" i="1"/>
  <c r="A5717" i="1"/>
  <c r="A194" i="1"/>
  <c r="A1230" i="1"/>
  <c r="A9243" i="1"/>
  <c r="A9237" i="1"/>
  <c r="A4070" i="1"/>
  <c r="A6123" i="1"/>
  <c r="A9217" i="1"/>
  <c r="A5700" i="1"/>
  <c r="A7137" i="1"/>
  <c r="A3027" i="1"/>
  <c r="A9569" i="1"/>
  <c r="A3174" i="1"/>
  <c r="A4910" i="1"/>
  <c r="A3535" i="1"/>
  <c r="A4825" i="1"/>
  <c r="A5452" i="1"/>
  <c r="A9399" i="1"/>
  <c r="A8420" i="1"/>
  <c r="A9509" i="1"/>
  <c r="A9207" i="1"/>
  <c r="A4058" i="1"/>
  <c r="A302" i="1"/>
  <c r="A7480" i="1"/>
  <c r="A3916" i="1"/>
  <c r="A3972" i="1"/>
  <c r="A7830" i="1"/>
  <c r="A5989" i="1"/>
  <c r="A9156" i="1"/>
  <c r="A7532" i="1"/>
  <c r="A5399" i="1"/>
  <c r="A3639" i="1"/>
  <c r="A7384" i="1"/>
  <c r="A3773" i="1"/>
  <c r="A7851" i="1"/>
  <c r="A113" i="1"/>
  <c r="A364" i="1"/>
  <c r="A7782" i="1"/>
  <c r="A5341" i="1"/>
  <c r="A3387" i="1"/>
  <c r="A7139" i="1"/>
  <c r="A5609" i="1"/>
  <c r="A7580" i="1"/>
  <c r="A964" i="1"/>
  <c r="A7037" i="1"/>
  <c r="A1556" i="1"/>
  <c r="A8920" i="1"/>
  <c r="A4071" i="1"/>
  <c r="A8887" i="1"/>
  <c r="A2762" i="1"/>
  <c r="A5375" i="1"/>
  <c r="A9118" i="1"/>
  <c r="A6137" i="1"/>
  <c r="A8336" i="1"/>
  <c r="A4172" i="1"/>
  <c r="A7755" i="1"/>
  <c r="A6114" i="1"/>
  <c r="A2557" i="1"/>
  <c r="A2744" i="1"/>
  <c r="A8605" i="1"/>
  <c r="A4030" i="1"/>
  <c r="A510" i="1"/>
  <c r="A2801" i="1"/>
  <c r="A7589" i="1"/>
  <c r="A339" i="1"/>
  <c r="A5190" i="1"/>
  <c r="A2811" i="1"/>
  <c r="A4692" i="1"/>
  <c r="A6481" i="1"/>
  <c r="A8570" i="1"/>
  <c r="A3303" i="1"/>
  <c r="A1449" i="1"/>
  <c r="A8940" i="1"/>
  <c r="A3854" i="1"/>
  <c r="A7773" i="1"/>
  <c r="A2754" i="1"/>
  <c r="A2804" i="1"/>
  <c r="A7599" i="1"/>
  <c r="A4078" i="1"/>
  <c r="A3391" i="1"/>
  <c r="A6670" i="1"/>
  <c r="A6628" i="1"/>
  <c r="A5332" i="1"/>
  <c r="A9365" i="1"/>
  <c r="A315" i="1"/>
  <c r="A4917" i="1"/>
  <c r="A5819" i="1"/>
  <c r="A1919" i="1"/>
  <c r="A3308" i="1"/>
  <c r="A4817" i="1"/>
  <c r="A7575" i="1"/>
  <c r="A8714" i="1"/>
  <c r="A9121" i="1"/>
  <c r="A898" i="1"/>
  <c r="A336" i="1"/>
  <c r="A4177" i="1"/>
  <c r="A2309" i="1"/>
  <c r="A8901" i="1"/>
  <c r="A8807" i="1"/>
  <c r="A9507" i="1"/>
  <c r="A1998" i="1"/>
  <c r="A6935" i="1"/>
  <c r="A3242" i="1"/>
  <c r="A5755" i="1"/>
  <c r="A6923" i="1"/>
  <c r="A897" i="1"/>
  <c r="A7224" i="1"/>
  <c r="A264" i="1"/>
  <c r="A7089" i="1"/>
  <c r="A412" i="1"/>
  <c r="A8594" i="1"/>
  <c r="A7703" i="1"/>
  <c r="A9537" i="1"/>
  <c r="A5701" i="1"/>
  <c r="A813" i="1"/>
  <c r="A4076" i="1"/>
  <c r="A4808" i="1"/>
  <c r="A4805" i="1"/>
  <c r="A3298" i="1"/>
  <c r="A8689" i="1"/>
  <c r="A8684" i="1"/>
  <c r="A6100" i="1"/>
  <c r="A7756" i="1"/>
  <c r="A9506" i="1"/>
  <c r="A1845" i="1"/>
  <c r="A7116" i="1"/>
  <c r="A2127" i="1"/>
  <c r="A6076" i="1"/>
  <c r="A1443" i="1"/>
  <c r="A4976" i="1"/>
  <c r="A7247" i="1"/>
  <c r="A1112" i="1"/>
  <c r="A5740" i="1"/>
  <c r="A3621" i="1"/>
  <c r="A6712" i="1"/>
  <c r="A7682" i="1"/>
  <c r="A6931" i="1"/>
  <c r="A1399" i="1"/>
  <c r="A5581" i="1"/>
  <c r="A2054" i="1"/>
  <c r="A1826" i="1"/>
  <c r="A4604" i="1"/>
  <c r="A8769" i="1"/>
  <c r="A4443" i="1"/>
  <c r="A8838" i="1"/>
  <c r="A1920" i="1"/>
  <c r="A6660" i="1"/>
  <c r="A2517" i="1"/>
  <c r="A4381" i="1"/>
  <c r="A3562" i="1"/>
  <c r="A9508" i="1"/>
  <c r="A1139" i="1"/>
  <c r="A4462" i="1"/>
  <c r="A4778" i="1"/>
  <c r="A4940" i="1"/>
  <c r="A411" i="1"/>
  <c r="A3194" i="1"/>
  <c r="A6162" i="1"/>
  <c r="A8590" i="1"/>
  <c r="A9261" i="1"/>
  <c r="A4643" i="1"/>
  <c r="A5554" i="1"/>
  <c r="A4337" i="1"/>
  <c r="A2091" i="1"/>
  <c r="A535" i="1"/>
  <c r="A4380" i="1"/>
  <c r="A8354" i="1"/>
  <c r="A9432" i="1"/>
  <c r="A1918" i="1"/>
  <c r="A7017" i="1"/>
  <c r="A5816" i="1"/>
  <c r="A4353" i="1"/>
  <c r="A7674" i="1"/>
  <c r="A6592" i="1"/>
  <c r="A521" i="1"/>
  <c r="A455" i="1"/>
  <c r="A88" i="1"/>
  <c r="A3101" i="1"/>
  <c r="A3100" i="1"/>
  <c r="A5439" i="1"/>
  <c r="A7994" i="1"/>
  <c r="A7421" i="1"/>
  <c r="A2671" i="1"/>
  <c r="A148" i="1"/>
  <c r="A2290" i="1"/>
  <c r="A2291" i="1"/>
  <c r="A4605" i="1"/>
  <c r="A8176" i="1"/>
  <c r="A6164" i="1"/>
  <c r="A7881" i="1"/>
  <c r="A1125" i="1"/>
  <c r="A1844" i="1"/>
  <c r="A7172" i="1"/>
  <c r="A4416" i="1"/>
  <c r="A1603" i="1"/>
  <c r="A3445" i="1"/>
  <c r="A3743" i="1"/>
  <c r="A6459" i="1"/>
  <c r="A9196" i="1"/>
  <c r="A5230" i="1"/>
  <c r="A5189" i="1"/>
  <c r="A147" i="1"/>
  <c r="A5593" i="1"/>
  <c r="A5082" i="1"/>
  <c r="A3151" i="1"/>
  <c r="A7263" i="1"/>
  <c r="A1807" i="1"/>
  <c r="A89" i="1"/>
  <c r="A2709" i="1"/>
  <c r="A3613" i="1"/>
  <c r="A3614" i="1"/>
  <c r="A6128" i="1"/>
  <c r="A3078" i="1"/>
  <c r="A8480" i="1"/>
  <c r="A5798" i="1"/>
  <c r="A9067" i="1"/>
  <c r="A1141" i="1"/>
  <c r="A3769" i="1"/>
  <c r="A4496" i="1"/>
  <c r="A5573" i="1"/>
  <c r="A2196" i="1"/>
  <c r="A2743" i="1"/>
  <c r="A8944" i="1"/>
  <c r="A554" i="1"/>
  <c r="A7909" i="1"/>
  <c r="A1643" i="1"/>
  <c r="A7899" i="1"/>
  <c r="A1109" i="1"/>
  <c r="A958" i="1"/>
  <c r="A7910" i="1"/>
  <c r="A544" i="1"/>
  <c r="A2118" i="1"/>
  <c r="A789" i="1"/>
  <c r="A7168" i="1"/>
  <c r="A5565" i="1"/>
  <c r="A8202" i="1"/>
  <c r="A8445" i="1"/>
  <c r="A2183" i="1"/>
  <c r="A2040" i="1"/>
  <c r="A601" i="1"/>
  <c r="A3802" i="1"/>
  <c r="A8014" i="1"/>
  <c r="A4427" i="1"/>
  <c r="A4116" i="1"/>
  <c r="A824" i="1"/>
  <c r="A8965" i="1"/>
  <c r="A4900" i="1"/>
  <c r="A140" i="1"/>
  <c r="A7832" i="1"/>
  <c r="A4472" i="1"/>
  <c r="A8169" i="1"/>
  <c r="A9070" i="1"/>
  <c r="A606" i="1"/>
  <c r="A6139" i="1"/>
  <c r="A2932" i="1"/>
  <c r="A7042" i="1"/>
  <c r="A6856" i="1"/>
  <c r="A865" i="1"/>
  <c r="A3092" i="1"/>
  <c r="A4356" i="1"/>
  <c r="A7972" i="1"/>
  <c r="A5194" i="1"/>
  <c r="A41" i="1"/>
  <c r="A7356" i="1"/>
  <c r="A5886" i="1"/>
  <c r="A921" i="1"/>
  <c r="A8011" i="1"/>
  <c r="A7602" i="1"/>
  <c r="A7586" i="1"/>
  <c r="A2265" i="1"/>
  <c r="A190" i="1"/>
  <c r="A8641" i="1"/>
  <c r="A7178" i="1"/>
  <c r="A4092" i="1"/>
  <c r="A1815" i="1"/>
  <c r="A2774" i="1"/>
  <c r="A4419" i="1"/>
  <c r="A8036" i="1"/>
  <c r="A4412" i="1"/>
  <c r="A763" i="1"/>
  <c r="A4426" i="1"/>
  <c r="A3489" i="1"/>
  <c r="A7177" i="1"/>
  <c r="A7871" i="1"/>
  <c r="A4314" i="1"/>
  <c r="A539" i="1"/>
  <c r="A6564" i="1"/>
  <c r="A7143" i="1"/>
  <c r="A8592" i="1"/>
  <c r="A1639" i="1"/>
  <c r="A386" i="1"/>
  <c r="A3235" i="1"/>
  <c r="A403" i="1"/>
  <c r="A5813" i="1"/>
  <c r="A2292" i="1"/>
  <c r="A1880" i="1"/>
  <c r="A5640" i="1"/>
  <c r="A1567" i="1"/>
  <c r="A3259" i="1"/>
  <c r="A156" i="1"/>
  <c r="A9401" i="1"/>
  <c r="A6163" i="1"/>
  <c r="A5244" i="1"/>
  <c r="A1592" i="1"/>
  <c r="A5491" i="1"/>
  <c r="A6305" i="1"/>
  <c r="A2383" i="1"/>
  <c r="A4119" i="1"/>
  <c r="A6566" i="1"/>
  <c r="A74" i="1"/>
  <c r="A7498" i="1"/>
  <c r="A6121" i="1"/>
  <c r="A5703" i="1"/>
  <c r="A3265" i="1"/>
  <c r="A8571" i="1"/>
  <c r="A249" i="1"/>
  <c r="A6980" i="1"/>
  <c r="A7070" i="1"/>
  <c r="A1508" i="1"/>
  <c r="A5710" i="1"/>
  <c r="A2769" i="1"/>
  <c r="A178" i="1"/>
  <c r="A9461" i="1"/>
  <c r="A6117" i="1"/>
  <c r="A9326" i="1"/>
  <c r="A7659" i="1"/>
  <c r="A1727" i="1"/>
  <c r="A322" i="1"/>
  <c r="A6475" i="1"/>
  <c r="A7688" i="1"/>
  <c r="A2333" i="1"/>
  <c r="A8614" i="1"/>
  <c r="A7552" i="1"/>
  <c r="A9177" i="1"/>
  <c r="A6880" i="1"/>
  <c r="A9091" i="1"/>
  <c r="A5132" i="1"/>
  <c r="A5569" i="1"/>
  <c r="A4597" i="1"/>
  <c r="A7563" i="1"/>
  <c r="A505" i="1"/>
  <c r="A688" i="1"/>
  <c r="A5208" i="1"/>
  <c r="A8991" i="1"/>
  <c r="A7277" i="1"/>
  <c r="A5175" i="1"/>
  <c r="A6531" i="1"/>
  <c r="A8363" i="1"/>
  <c r="A3491" i="1"/>
  <c r="A1921" i="1"/>
  <c r="A7049" i="1"/>
  <c r="A5611" i="1"/>
  <c r="A4319" i="1"/>
  <c r="A5262" i="1"/>
  <c r="A9281" i="1"/>
  <c r="A4315" i="1"/>
  <c r="A867" i="1"/>
  <c r="A4339" i="1"/>
  <c r="A4354" i="1"/>
  <c r="A4128" i="1"/>
  <c r="A4073" i="1"/>
  <c r="A5343" i="1"/>
  <c r="A4418" i="1"/>
  <c r="A5542" i="1"/>
  <c r="A2312" i="1"/>
  <c r="A759" i="1"/>
  <c r="A303" i="1"/>
  <c r="A7193" i="1"/>
  <c r="A599" i="1"/>
  <c r="A9113" i="1"/>
  <c r="A7891" i="1"/>
  <c r="A5702" i="1"/>
  <c r="A6897" i="1"/>
  <c r="A9449" i="1"/>
  <c r="A7593" i="1"/>
  <c r="A815" i="1"/>
  <c r="A1707" i="1"/>
  <c r="A3289" i="1"/>
  <c r="A1938" i="1"/>
  <c r="A7032" i="1"/>
  <c r="A7302" i="1"/>
  <c r="A3112" i="1"/>
  <c r="A1532" i="1"/>
  <c r="A6370" i="1"/>
  <c r="A5749" i="1"/>
  <c r="A6978" i="1"/>
  <c r="A4924" i="1"/>
  <c r="A3960" i="1"/>
  <c r="A7526" i="1"/>
  <c r="A9173" i="1"/>
  <c r="A5508" i="1"/>
  <c r="A3159" i="1"/>
  <c r="A5990" i="1"/>
  <c r="A4526" i="1"/>
  <c r="A6220" i="1"/>
  <c r="A6650" i="1"/>
  <c r="A5578" i="1"/>
  <c r="A9454" i="1"/>
  <c r="A806" i="1"/>
  <c r="A105" i="1"/>
  <c r="A809" i="1"/>
  <c r="A7258" i="1"/>
  <c r="A5698" i="1"/>
  <c r="A9106" i="1"/>
  <c r="A1534" i="1"/>
  <c r="A3163" i="1"/>
  <c r="A131" i="1"/>
  <c r="A9233" i="1"/>
  <c r="A5804" i="1"/>
  <c r="A7167" i="1"/>
  <c r="A9120" i="1"/>
  <c r="A6702" i="1"/>
  <c r="A2668" i="1"/>
  <c r="A183" i="1"/>
  <c r="A1201" i="1"/>
  <c r="A6983" i="1"/>
  <c r="A4038" i="1"/>
  <c r="A4040" i="1"/>
  <c r="A7646" i="1"/>
  <c r="A4039" i="1"/>
  <c r="A8724" i="1"/>
  <c r="A9122" i="1"/>
  <c r="A1057" i="1"/>
  <c r="A7839" i="1"/>
  <c r="A4559" i="1"/>
  <c r="A6997" i="1"/>
  <c r="A3383" i="1"/>
  <c r="A9225" i="1"/>
  <c r="A4914" i="1"/>
  <c r="A9405" i="1"/>
  <c r="A9406" i="1"/>
  <c r="A2948" i="1"/>
  <c r="A5392" i="1"/>
  <c r="A8733" i="1"/>
  <c r="A6165" i="1"/>
  <c r="A4024" i="1"/>
  <c r="A5479" i="1"/>
  <c r="A3286" i="1"/>
  <c r="A6553" i="1"/>
  <c r="A2093" i="1"/>
  <c r="A7594" i="1"/>
  <c r="A6390" i="1"/>
  <c r="A6111" i="1"/>
  <c r="A6332" i="1"/>
  <c r="A1436" i="1"/>
  <c r="A5421" i="1"/>
  <c r="A5395" i="1"/>
  <c r="A9505" i="1"/>
  <c r="A6080" i="1"/>
  <c r="A6609" i="1"/>
  <c r="A937" i="1"/>
  <c r="A1626" i="1"/>
  <c r="A5546" i="1"/>
  <c r="A5872" i="1"/>
  <c r="A7334" i="1"/>
  <c r="A576" i="1"/>
  <c r="A6921" i="1"/>
  <c r="A6922" i="1"/>
  <c r="A9411" i="1"/>
  <c r="A8796" i="1"/>
  <c r="A1618" i="1"/>
  <c r="A6008" i="1"/>
  <c r="A5426" i="1"/>
  <c r="A177" i="1"/>
  <c r="A7030" i="1"/>
  <c r="A8825" i="1"/>
  <c r="A1092" i="1"/>
  <c r="A1094" i="1"/>
  <c r="A6943" i="1"/>
  <c r="A6153" i="1"/>
  <c r="A1517" i="1"/>
  <c r="A6507" i="1"/>
  <c r="A4056" i="1"/>
  <c r="A21" i="1"/>
  <c r="A7585" i="1"/>
  <c r="A9310" i="1"/>
  <c r="A4904" i="1"/>
  <c r="A230" i="1"/>
  <c r="A8943" i="1"/>
  <c r="A5368" i="1"/>
  <c r="A19" i="1"/>
  <c r="A416" i="1"/>
  <c r="A7606" i="1"/>
  <c r="A2370" i="1"/>
  <c r="A3420" i="1"/>
  <c r="A3652" i="1"/>
  <c r="A334" i="1"/>
  <c r="A9219" i="1"/>
  <c r="A4557" i="1"/>
  <c r="A6310" i="1"/>
  <c r="A6286" i="1"/>
  <c r="A800" i="1"/>
  <c r="A7680" i="1"/>
  <c r="A9226" i="1"/>
  <c r="A374" i="1"/>
  <c r="A7793" i="1"/>
  <c r="A4121" i="1"/>
  <c r="A6079" i="1"/>
  <c r="A9224" i="1"/>
  <c r="A9311" i="1"/>
  <c r="A182" i="1"/>
  <c r="A6130" i="1"/>
  <c r="A1994" i="1"/>
  <c r="A4694" i="1"/>
  <c r="A1635" i="1"/>
  <c r="A6004" i="1"/>
  <c r="A8830" i="1"/>
  <c r="A9052" i="1"/>
  <c r="A6078" i="1"/>
  <c r="A8792" i="1"/>
  <c r="A419" i="1"/>
  <c r="A6170" i="1"/>
  <c r="A6171" i="1"/>
  <c r="A4656" i="1"/>
  <c r="A1997" i="1"/>
  <c r="A5261" i="1"/>
  <c r="A4683" i="1"/>
  <c r="A1633" i="1"/>
  <c r="A9458" i="1"/>
  <c r="A3250" i="1"/>
  <c r="A4937" i="1"/>
  <c r="A7860" i="1"/>
  <c r="A5323" i="1"/>
  <c r="A693" i="1"/>
  <c r="A9234" i="1"/>
  <c r="A6144" i="1"/>
  <c r="A5985" i="1"/>
  <c r="A7203" i="1"/>
  <c r="A6987" i="1"/>
  <c r="A3287" i="1"/>
  <c r="A9457" i="1"/>
  <c r="A1067" i="1"/>
  <c r="A8135" i="1"/>
  <c r="A4733" i="1"/>
  <c r="A4577" i="1"/>
  <c r="A5385" i="1"/>
  <c r="A8137" i="1"/>
  <c r="A3097" i="1"/>
  <c r="A5267" i="1"/>
  <c r="A6132" i="1"/>
  <c r="A3191" i="1"/>
  <c r="A6920" i="1"/>
  <c r="A4776" i="1"/>
  <c r="A9413" i="1"/>
  <c r="A6207" i="1"/>
  <c r="A6239" i="1"/>
  <c r="A803" i="1"/>
  <c r="A9144" i="1"/>
  <c r="A8727" i="1"/>
  <c r="A6167" i="1"/>
  <c r="A8160" i="1"/>
  <c r="A358" i="1"/>
  <c r="A6217" i="1"/>
  <c r="A8649" i="1"/>
  <c r="A9193" i="1"/>
  <c r="A3790" i="1"/>
  <c r="A3394" i="1"/>
  <c r="A2192" i="1"/>
  <c r="A3785" i="1"/>
  <c r="A6307" i="1"/>
  <c r="A6383" i="1"/>
  <c r="A3188" i="1"/>
  <c r="A5961" i="1"/>
  <c r="A9296" i="1"/>
  <c r="A7605" i="1"/>
  <c r="A2898" i="1"/>
  <c r="A31" i="1"/>
  <c r="A333" i="1"/>
  <c r="A8784" i="1"/>
  <c r="A6964" i="1"/>
  <c r="A5048" i="1"/>
  <c r="A646" i="1"/>
  <c r="A8080" i="1"/>
  <c r="A648" i="1"/>
  <c r="A1232" i="1"/>
  <c r="A3989" i="1"/>
  <c r="A9100" i="1"/>
  <c r="A6517" i="1"/>
  <c r="A3763" i="1"/>
  <c r="A2787" i="1"/>
  <c r="A1657" i="1"/>
  <c r="A2285" i="1"/>
  <c r="A1061" i="1"/>
  <c r="A8660" i="1"/>
  <c r="A7762" i="1"/>
  <c r="A9170" i="1"/>
  <c r="A6046" i="1"/>
  <c r="A3442" i="1"/>
  <c r="A807" i="1"/>
  <c r="A1619" i="1"/>
  <c r="A3304" i="1"/>
  <c r="A3292" i="1"/>
  <c r="A9392" i="1"/>
  <c r="A9384" i="1"/>
  <c r="A8351" i="1"/>
  <c r="A335" i="1"/>
  <c r="A1499" i="1"/>
  <c r="A3618" i="1"/>
  <c r="A8744" i="1"/>
  <c r="A4836" i="1"/>
  <c r="A4921" i="1"/>
  <c r="A2003" i="1"/>
  <c r="A8472" i="1"/>
  <c r="A4935" i="1"/>
  <c r="A1614" i="1"/>
  <c r="A9306" i="1"/>
  <c r="A6526" i="1"/>
  <c r="A2554" i="1"/>
  <c r="A5116" i="1"/>
  <c r="A5014" i="1"/>
  <c r="A5251" i="1"/>
  <c r="A3692" i="1"/>
  <c r="A459" i="1"/>
  <c r="A3588" i="1"/>
  <c r="A6288" i="1"/>
  <c r="A3047" i="1"/>
  <c r="A837" i="1"/>
  <c r="A9340" i="1"/>
  <c r="A9552" i="1"/>
  <c r="A8216" i="1"/>
  <c r="A3673" i="1"/>
  <c r="A6211" i="1"/>
  <c r="A3686" i="1"/>
  <c r="A5133" i="1"/>
  <c r="A3770" i="1"/>
  <c r="A3755" i="1"/>
  <c r="A5912" i="1"/>
  <c r="A3168" i="1"/>
  <c r="A3693" i="1"/>
  <c r="A8211" i="1"/>
  <c r="A8017" i="1"/>
  <c r="A3592" i="1"/>
  <c r="A8213" i="1"/>
  <c r="A8214" i="1"/>
  <c r="A6065" i="1"/>
  <c r="A1304" i="1"/>
  <c r="A1317" i="1"/>
  <c r="A6441" i="1"/>
  <c r="A1438" i="1"/>
  <c r="A3216" i="1"/>
  <c r="A6097" i="1"/>
  <c r="A3301" i="1"/>
  <c r="A5818" i="1"/>
  <c r="A1206" i="1"/>
  <c r="A2141" i="1"/>
  <c r="A6041" i="1"/>
  <c r="A6311" i="1"/>
  <c r="A512" i="1"/>
  <c r="A1442" i="1"/>
  <c r="A1440" i="1"/>
  <c r="A3103" i="1"/>
  <c r="A229" i="1"/>
  <c r="A9590" i="1"/>
  <c r="A8334" i="1"/>
  <c r="A6293" i="1"/>
  <c r="A2257" i="1"/>
  <c r="A8191" i="1"/>
  <c r="A6099" i="1"/>
  <c r="A3663" i="1"/>
  <c r="A1221" i="1"/>
  <c r="A222" i="1"/>
  <c r="A9539" i="1"/>
  <c r="A164" i="1"/>
  <c r="A3965" i="1"/>
  <c r="A8361" i="1"/>
  <c r="A198" i="1"/>
  <c r="A6538" i="1"/>
  <c r="A1722" i="1"/>
  <c r="A5266" i="1"/>
  <c r="A8241" i="1"/>
  <c r="A8257" i="1"/>
  <c r="A2156" i="1"/>
  <c r="A3599" i="1"/>
  <c r="A6346" i="1"/>
  <c r="A3603" i="1"/>
  <c r="A2406" i="1"/>
  <c r="A8682" i="1"/>
  <c r="A5815" i="1"/>
  <c r="A265" i="1"/>
  <c r="A231" i="1"/>
  <c r="A3591" i="1"/>
  <c r="A9101" i="1"/>
  <c r="A6067" i="1"/>
  <c r="A1223" i="1"/>
  <c r="A8035" i="1"/>
  <c r="A3281" i="1"/>
  <c r="A8258" i="1"/>
  <c r="A2532" i="1"/>
  <c r="A7388" i="1"/>
  <c r="A368" i="1"/>
  <c r="A2198" i="1"/>
  <c r="A5011" i="1"/>
  <c r="A3503" i="1"/>
  <c r="A2540" i="1"/>
  <c r="A5083" i="1"/>
  <c r="A5741" i="1"/>
  <c r="A2539" i="1"/>
  <c r="A1113" i="1"/>
  <c r="A493" i="1"/>
  <c r="A6081" i="1"/>
  <c r="A5283" i="1"/>
  <c r="A3283" i="1"/>
  <c r="A7108" i="1"/>
  <c r="A5679" i="1"/>
  <c r="A172" i="1"/>
  <c r="A3468" i="1"/>
  <c r="A1282" i="1"/>
  <c r="A1516" i="1"/>
  <c r="A4571" i="1"/>
  <c r="A1303" i="1"/>
  <c r="A1542" i="1"/>
  <c r="A5835" i="1"/>
  <c r="A3775" i="1"/>
  <c r="A7908" i="1"/>
  <c r="A1100" i="1"/>
  <c r="A6263" i="1"/>
  <c r="A536" i="1"/>
  <c r="A6397" i="1"/>
  <c r="A3435" i="1"/>
  <c r="A7621" i="1"/>
  <c r="A9578" i="1"/>
  <c r="A5812" i="1"/>
  <c r="A9178" i="1"/>
  <c r="A4545" i="1"/>
  <c r="A3929" i="1"/>
  <c r="A8483" i="1"/>
  <c r="A7677" i="1"/>
  <c r="A3268" i="1"/>
  <c r="A497" i="1"/>
  <c r="A6227" i="1"/>
  <c r="A5563" i="1"/>
  <c r="A1117" i="1"/>
  <c r="A8679" i="1"/>
  <c r="A6071" i="1"/>
  <c r="A216" i="1"/>
  <c r="A9060" i="1"/>
  <c r="A3710" i="1"/>
  <c r="A2174" i="1"/>
  <c r="A8613" i="1"/>
  <c r="A3697" i="1"/>
  <c r="A5034" i="1"/>
  <c r="A8074" i="1"/>
  <c r="A217" i="1"/>
  <c r="A9098" i="1"/>
  <c r="A8514" i="1"/>
  <c r="A224" i="1"/>
  <c r="A8215" i="1"/>
  <c r="A179" i="1"/>
  <c r="A4373" i="1"/>
  <c r="A1629" i="1"/>
  <c r="A225" i="1"/>
  <c r="A6345" i="1"/>
  <c r="A6389" i="1"/>
  <c r="A3684" i="1"/>
  <c r="A169" i="1"/>
  <c r="A9213" i="1"/>
  <c r="A266" i="1"/>
  <c r="A9575" i="1"/>
  <c r="A4535" i="1"/>
  <c r="A189" i="1"/>
  <c r="A4555" i="1"/>
  <c r="A6817" i="1"/>
  <c r="A2492" i="1"/>
  <c r="A73" i="1"/>
  <c r="A7973" i="1"/>
  <c r="A8469" i="1"/>
  <c r="A3927" i="1"/>
  <c r="A6558" i="1"/>
  <c r="A6093" i="1"/>
  <c r="A8260" i="1"/>
  <c r="A4543" i="1"/>
  <c r="A604" i="1"/>
  <c r="A6040" i="1"/>
  <c r="A7892" i="1"/>
  <c r="A132" i="1"/>
  <c r="A79" i="1"/>
  <c r="A1225" i="1"/>
  <c r="A6678" i="1"/>
  <c r="A1510" i="1"/>
  <c r="A6829" i="1"/>
  <c r="A3985" i="1"/>
  <c r="A5509" i="1"/>
  <c r="A1226" i="1"/>
  <c r="A2250" i="1"/>
  <c r="A6684" i="1"/>
  <c r="A3555" i="1"/>
  <c r="A7889" i="1"/>
  <c r="A1642" i="1"/>
  <c r="A8350" i="1"/>
  <c r="A907" i="1"/>
  <c r="A3636" i="1"/>
  <c r="A3221" i="1"/>
  <c r="A941" i="1"/>
  <c r="A6616" i="1"/>
  <c r="A3544" i="1"/>
  <c r="A2548" i="1"/>
  <c r="A4737" i="1"/>
  <c r="A371" i="1"/>
  <c r="A1346" i="1"/>
  <c r="A1345" i="1"/>
  <c r="A7453" i="1"/>
  <c r="A2042" i="1"/>
  <c r="A7406" i="1"/>
  <c r="A3263" i="1"/>
  <c r="A6274" i="1"/>
  <c r="A3206" i="1"/>
  <c r="A3608" i="1"/>
  <c r="A5033" i="1"/>
  <c r="A833" i="1"/>
  <c r="A80" i="1"/>
  <c r="A1211" i="1"/>
  <c r="A77" i="1"/>
  <c r="A5278" i="1"/>
  <c r="A9448" i="1"/>
  <c r="A7053" i="1"/>
  <c r="A5020" i="1"/>
  <c r="A3776" i="1"/>
  <c r="A3722" i="1"/>
  <c r="A3604" i="1"/>
  <c r="A226" i="1"/>
  <c r="A8023" i="1"/>
  <c r="A6491" i="1"/>
  <c r="A1526" i="1"/>
  <c r="A64" i="1"/>
  <c r="A1680" i="1"/>
  <c r="A2945" i="1"/>
  <c r="A3709" i="1"/>
  <c r="A6134" i="1"/>
  <c r="A7999" i="1"/>
  <c r="A8018" i="1"/>
  <c r="A6045" i="1"/>
  <c r="A8623" i="1"/>
  <c r="A2628" i="1"/>
  <c r="A6490" i="1"/>
  <c r="A6247" i="1"/>
  <c r="A6633" i="1"/>
  <c r="A4169" i="1"/>
  <c r="A8228" i="1"/>
  <c r="A5045" i="1"/>
  <c r="A1923" i="1"/>
  <c r="A9246" i="1"/>
  <c r="A1229" i="1"/>
  <c r="A4854" i="1"/>
  <c r="A6539" i="1"/>
  <c r="A5938" i="1"/>
  <c r="A6094" i="1"/>
  <c r="A2034" i="1"/>
  <c r="A6368" i="1"/>
  <c r="A8138" i="1"/>
  <c r="A133" i="1"/>
  <c r="A962" i="1"/>
  <c r="A2858" i="1"/>
  <c r="A8212" i="1"/>
  <c r="A7622" i="1"/>
  <c r="A2855" i="1"/>
  <c r="A7318" i="1"/>
  <c r="A2852" i="1"/>
  <c r="A2249" i="1"/>
  <c r="A4641" i="1"/>
  <c r="A8930" i="1"/>
  <c r="A6500" i="1"/>
  <c r="A8276" i="1"/>
  <c r="A8229" i="1"/>
  <c r="A1332" i="1"/>
  <c r="A4691" i="1"/>
  <c r="A8265" i="1"/>
  <c r="A7067" i="1"/>
  <c r="A7632" i="1"/>
  <c r="A7007" i="1"/>
  <c r="A3390" i="1"/>
  <c r="A7129" i="1"/>
  <c r="A2778" i="1"/>
  <c r="A3915" i="1"/>
  <c r="A3099" i="1"/>
  <c r="A5571" i="1"/>
  <c r="A2228" i="1"/>
  <c r="A6439" i="1"/>
  <c r="A1466" i="1"/>
  <c r="A3093" i="1"/>
  <c r="A2081" i="1"/>
  <c r="A7271" i="1"/>
  <c r="A43" i="1"/>
  <c r="A8779" i="1"/>
  <c r="A425" i="1"/>
  <c r="A3495" i="1"/>
  <c r="A2815" i="1"/>
  <c r="A330" i="1"/>
  <c r="A7208" i="1"/>
  <c r="A8734" i="1"/>
  <c r="A8204" i="1"/>
  <c r="A7209" i="1"/>
  <c r="A7257" i="1"/>
  <c r="A8705" i="1"/>
  <c r="A2221" i="1"/>
  <c r="A6994" i="1"/>
  <c r="A1610" i="1"/>
  <c r="A8371" i="1"/>
  <c r="A5817" i="1"/>
  <c r="A9403" i="1"/>
  <c r="A2140" i="1"/>
  <c r="A3096" i="1"/>
  <c r="A9500" i="1"/>
  <c r="A6770" i="1"/>
  <c r="A5160" i="1"/>
  <c r="A5365" i="1"/>
  <c r="A7997" i="1"/>
  <c r="A7806" i="1"/>
  <c r="A1489" i="1"/>
  <c r="A6003" i="1"/>
  <c r="A417" i="1"/>
  <c r="A8710" i="1"/>
  <c r="A5799" i="1"/>
  <c r="A1297" i="1"/>
  <c r="A6746" i="1"/>
  <c r="A2887" i="1"/>
  <c r="A1498" i="1"/>
  <c r="A1494" i="1"/>
  <c r="A7600" i="1"/>
  <c r="A4591" i="1"/>
  <c r="A5996" i="1"/>
  <c r="A8292" i="1"/>
  <c r="A6313" i="1"/>
  <c r="A4622" i="1"/>
  <c r="A6654" i="1"/>
  <c r="A1326" i="1"/>
  <c r="A6886" i="1"/>
  <c r="A5367" i="1"/>
  <c r="A9545" i="1"/>
  <c r="A612" i="1"/>
  <c r="A614" i="1"/>
  <c r="A9317" i="1"/>
  <c r="A758" i="1"/>
  <c r="A6753" i="1"/>
  <c r="A4055" i="1"/>
  <c r="A6000" i="1"/>
  <c r="A1890" i="1"/>
  <c r="A2191" i="1"/>
  <c r="A6887" i="1"/>
  <c r="A5739" i="1"/>
  <c r="A3619" i="1"/>
  <c r="A5956" i="1"/>
  <c r="A8125" i="1"/>
  <c r="A4042" i="1"/>
  <c r="A2334" i="1"/>
  <c r="A5387" i="1"/>
  <c r="A5307" i="1"/>
  <c r="A6502" i="1"/>
  <c r="A6253" i="1"/>
  <c r="A9496" i="1"/>
  <c r="A7107" i="1"/>
  <c r="A9137" i="1"/>
  <c r="A9554" i="1"/>
  <c r="A6733" i="1"/>
  <c r="A2919" i="1"/>
  <c r="A1322" i="1"/>
  <c r="A5167" i="1"/>
  <c r="A9556" i="1"/>
  <c r="A1505" i="1"/>
  <c r="A851" i="1"/>
  <c r="A4086" i="1"/>
  <c r="A8475" i="1"/>
  <c r="A618" i="1"/>
  <c r="A2916" i="1"/>
  <c r="A3727" i="1"/>
  <c r="A9555" i="1"/>
  <c r="A1647" i="1"/>
  <c r="A5458" i="1"/>
  <c r="A7426" i="1"/>
  <c r="A4130" i="1"/>
  <c r="A3498" i="1"/>
  <c r="A4913" i="1"/>
  <c r="A6750" i="1"/>
  <c r="A2888" i="1"/>
  <c r="A3850" i="1"/>
  <c r="A9497" i="1"/>
  <c r="A2915" i="1"/>
  <c r="A7446" i="1"/>
  <c r="A2746" i="1"/>
  <c r="A2152" i="1"/>
  <c r="A3753" i="1"/>
  <c r="A5166" i="1"/>
  <c r="A3210" i="1"/>
  <c r="A613" i="1"/>
  <c r="A3167" i="1"/>
  <c r="A5027" i="1"/>
  <c r="A3641" i="1"/>
  <c r="A3472" i="1"/>
  <c r="A8947" i="1"/>
  <c r="A9319" i="1"/>
  <c r="A8950" i="1"/>
  <c r="A5725" i="1"/>
  <c r="A1194" i="1"/>
  <c r="A5616" i="1"/>
  <c r="A7964" i="1"/>
  <c r="A9516" i="1"/>
  <c r="A3473" i="1"/>
  <c r="A7367" i="1"/>
  <c r="A8325" i="1"/>
  <c r="A5000" i="1"/>
  <c r="A8342" i="1"/>
  <c r="A1672" i="1"/>
  <c r="A1670" i="1"/>
  <c r="A3564" i="1"/>
  <c r="A1129" i="1"/>
  <c r="A1675" i="1"/>
  <c r="A2751" i="1"/>
  <c r="A6743" i="1"/>
  <c r="A2865" i="1"/>
  <c r="A6759" i="1"/>
  <c r="A6768" i="1"/>
  <c r="A4090" i="1"/>
  <c r="A3713" i="1"/>
  <c r="A3714" i="1"/>
  <c r="A9451" i="1"/>
  <c r="A3951" i="1"/>
  <c r="A3343" i="1"/>
  <c r="A4798" i="1"/>
  <c r="A5149" i="1"/>
  <c r="A7028" i="1"/>
  <c r="A8945" i="1"/>
  <c r="A6218" i="1"/>
  <c r="A4835" i="1"/>
  <c r="A6809" i="1"/>
  <c r="A2533" i="1"/>
  <c r="A3606" i="1"/>
  <c r="A3557" i="1"/>
  <c r="A7211" i="1"/>
  <c r="A7430" i="1"/>
  <c r="A4741" i="1"/>
  <c r="A3585" i="1"/>
  <c r="A5051" i="1"/>
  <c r="A8609" i="1"/>
  <c r="A352" i="1"/>
  <c r="A9404" i="1"/>
  <c r="A7272" i="1"/>
  <c r="A223" i="1"/>
  <c r="A1202" i="1"/>
  <c r="A9055" i="1"/>
  <c r="A1924" i="1"/>
  <c r="A3987" i="1"/>
  <c r="A3679" i="1"/>
  <c r="A370" i="1"/>
  <c r="A4791" i="1"/>
  <c r="A124" i="1"/>
  <c r="A3946" i="1"/>
  <c r="A1861" i="1"/>
  <c r="A3782" i="1"/>
  <c r="A5012" i="1"/>
  <c r="A5013" i="1"/>
  <c r="A3677" i="1"/>
  <c r="A349" i="1"/>
  <c r="A7378" i="1"/>
  <c r="A5021" i="1"/>
  <c r="A7196" i="1"/>
  <c r="A1535" i="1"/>
  <c r="A6289" i="1"/>
  <c r="A5018" i="1"/>
  <c r="A4004" i="1"/>
  <c r="A3783" i="1"/>
  <c r="A831" i="1"/>
  <c r="A6306" i="1"/>
  <c r="A4785" i="1"/>
  <c r="A2070" i="1"/>
  <c r="A351" i="1"/>
  <c r="A356" i="1"/>
  <c r="A4738" i="1"/>
  <c r="A4736" i="1"/>
  <c r="A6327" i="1"/>
  <c r="A9394" i="1"/>
  <c r="A4067" i="1"/>
  <c r="A7429" i="1"/>
  <c r="A1312" i="1"/>
  <c r="A6334" i="1"/>
  <c r="A2346" i="1"/>
  <c r="A3971" i="1"/>
  <c r="A6337" i="1"/>
  <c r="A2347" i="1"/>
  <c r="A4065" i="1"/>
  <c r="A6489" i="1"/>
  <c r="A6303" i="1"/>
  <c r="A6365" i="1"/>
  <c r="A3678" i="1"/>
  <c r="A6483" i="1"/>
  <c r="A2345" i="1"/>
  <c r="A7410" i="1"/>
  <c r="A2343" i="1"/>
  <c r="A6364" i="1"/>
  <c r="A1475" i="1"/>
  <c r="A7882" i="1"/>
  <c r="A2529" i="1"/>
  <c r="A6496" i="1"/>
  <c r="A6484" i="1"/>
  <c r="A2348" i="1"/>
  <c r="A4882" i="1"/>
  <c r="A7416" i="1"/>
  <c r="A2549" i="1"/>
  <c r="A2344" i="1"/>
  <c r="A6478" i="1"/>
  <c r="A4734" i="1"/>
  <c r="A4062" i="1"/>
  <c r="A6296" i="1"/>
  <c r="A6395" i="1"/>
  <c r="A6287" i="1"/>
  <c r="A3925" i="1"/>
  <c r="A2841" i="1"/>
  <c r="A4379" i="1"/>
  <c r="A4668" i="1"/>
  <c r="A2758" i="1"/>
  <c r="A4670" i="1"/>
  <c r="A2759" i="1"/>
  <c r="A3062" i="1"/>
  <c r="A7668" i="1"/>
  <c r="A8261" i="1"/>
  <c r="A504" i="1"/>
  <c r="A6035" i="1"/>
  <c r="A8617" i="1"/>
  <c r="A7625" i="1"/>
  <c r="A5974" i="1"/>
  <c r="A4011" i="1"/>
  <c r="A8253" i="1"/>
  <c r="A9252" i="1"/>
  <c r="A4768" i="1"/>
  <c r="A7660" i="1"/>
  <c r="A4533" i="1"/>
  <c r="A2472" i="1"/>
  <c r="A7663" i="1"/>
  <c r="A4554" i="1"/>
  <c r="A6052" i="1"/>
  <c r="A1949" i="1"/>
  <c r="A6059" i="1"/>
  <c r="A2766" i="1"/>
  <c r="A3181" i="1"/>
  <c r="A108" i="1"/>
  <c r="A8254" i="1"/>
  <c r="A6044" i="1"/>
  <c r="A1111" i="1"/>
  <c r="A7346" i="1"/>
  <c r="A1203" i="1"/>
  <c r="A6339" i="1"/>
  <c r="A78" i="1"/>
  <c r="A7670" i="1"/>
  <c r="A7667" i="1"/>
  <c r="A1212" i="1"/>
  <c r="A4769" i="1"/>
  <c r="A1215" i="1"/>
  <c r="A4602" i="1"/>
  <c r="A75" i="1"/>
  <c r="A3664" i="1"/>
  <c r="A9235" i="1"/>
  <c r="A6061" i="1"/>
  <c r="A282" i="1"/>
  <c r="A1937" i="1"/>
  <c r="A9606" i="1"/>
  <c r="A5347" i="1"/>
  <c r="A5459" i="1"/>
  <c r="A6068" i="1"/>
  <c r="A228" i="1"/>
  <c r="A3607" i="1"/>
  <c r="A8255" i="1"/>
  <c r="A218" i="1"/>
  <c r="A8252" i="1"/>
  <c r="A227" i="1"/>
  <c r="A5057" i="1"/>
  <c r="A5037" i="1"/>
  <c r="A5833" i="1"/>
  <c r="A3888" i="1"/>
  <c r="A7894" i="1"/>
  <c r="A582" i="1"/>
  <c r="A3868" i="1"/>
  <c r="A3568" i="1"/>
  <c r="A6157" i="1"/>
  <c r="A219" i="1"/>
  <c r="A4563" i="1"/>
  <c r="A7888" i="1"/>
  <c r="A1209" i="1"/>
  <c r="A2625" i="1"/>
  <c r="A7323" i="1"/>
  <c r="A6002" i="1"/>
  <c r="A2951" i="1"/>
  <c r="A5222" i="1"/>
  <c r="A5009" i="1"/>
  <c r="A6764" i="1"/>
  <c r="A5913" i="1"/>
  <c r="A2630" i="1"/>
  <c r="A6813" i="1"/>
  <c r="A7390" i="1"/>
  <c r="A3739" i="1"/>
  <c r="A7399" i="1"/>
  <c r="A4401" i="1"/>
  <c r="A5036" i="1"/>
  <c r="A2687" i="1"/>
  <c r="A8690" i="1"/>
  <c r="A1339" i="1"/>
  <c r="A7348" i="1"/>
  <c r="A3654" i="1"/>
  <c r="A9495" i="1"/>
  <c r="A152" i="1"/>
  <c r="A6640" i="1"/>
  <c r="A9297" i="1"/>
  <c r="A2882" i="1"/>
  <c r="A4953" i="1"/>
  <c r="A3600" i="1"/>
  <c r="A1731" i="1"/>
  <c r="A8674" i="1"/>
  <c r="A7447" i="1"/>
  <c r="A3278" i="1"/>
  <c r="A2874" i="1"/>
  <c r="A3105" i="1"/>
  <c r="A5161" i="1"/>
  <c r="A8778" i="1"/>
  <c r="A1453" i="1"/>
  <c r="A5042" i="1"/>
  <c r="A6890" i="1"/>
  <c r="A5231" i="1"/>
  <c r="A5960" i="1"/>
  <c r="A6815" i="1"/>
  <c r="A8094" i="1"/>
  <c r="A5016" i="1"/>
  <c r="A4342" i="1"/>
  <c r="A7273" i="1"/>
  <c r="A4396" i="1"/>
  <c r="A6736" i="1"/>
  <c r="A5370" i="1"/>
  <c r="A9440" i="1"/>
  <c r="A7673" i="1"/>
  <c r="A566" i="1"/>
  <c r="A5919" i="1"/>
  <c r="A7142" i="1"/>
  <c r="A8041" i="1"/>
  <c r="A3019" i="1"/>
  <c r="A6443" i="1"/>
  <c r="A6757" i="1"/>
  <c r="A7381" i="1"/>
  <c r="A2892" i="1"/>
  <c r="A237" i="1"/>
  <c r="A2761" i="1"/>
  <c r="A3662" i="1"/>
  <c r="A5771" i="1"/>
  <c r="A2753" i="1"/>
  <c r="A2640" i="1"/>
  <c r="A6960" i="1"/>
  <c r="A7124" i="1"/>
  <c r="A8305" i="1"/>
  <c r="A6732" i="1"/>
  <c r="A6766" i="1"/>
  <c r="A8459" i="1"/>
  <c r="A2749" i="1"/>
  <c r="A4466" i="1"/>
  <c r="A7413" i="1"/>
  <c r="A1900" i="1"/>
  <c r="A3988" i="1"/>
  <c r="A6240" i="1"/>
  <c r="A7400" i="1"/>
  <c r="A7370" i="1"/>
  <c r="A1487" i="1"/>
  <c r="A5023" i="1"/>
  <c r="A3344" i="1"/>
  <c r="A8845" i="1"/>
  <c r="A1500" i="1"/>
  <c r="A4578" i="1"/>
  <c r="A3944" i="1"/>
  <c r="A5070" i="1"/>
  <c r="A7818" i="1"/>
  <c r="A4107" i="1"/>
  <c r="A5513" i="1"/>
  <c r="A3346" i="1"/>
  <c r="A3738" i="1"/>
  <c r="A3899" i="1"/>
  <c r="A3640" i="1"/>
  <c r="A2251" i="1"/>
  <c r="A5471" i="1"/>
  <c r="A3338" i="1"/>
  <c r="A4400" i="1"/>
  <c r="A8498" i="1"/>
  <c r="A8300" i="1"/>
  <c r="A2407" i="1"/>
  <c r="A2871" i="1"/>
  <c r="A561" i="1"/>
  <c r="A5024" i="1"/>
  <c r="A7966" i="1"/>
  <c r="A7441" i="1"/>
  <c r="A7256" i="1"/>
  <c r="A4405" i="1"/>
  <c r="A7220" i="1"/>
  <c r="A6238" i="1"/>
  <c r="A3799" i="1"/>
  <c r="A3336" i="1"/>
  <c r="A3332" i="1"/>
  <c r="A2872" i="1"/>
  <c r="A2881" i="1"/>
  <c r="A4394" i="1"/>
  <c r="A6748" i="1"/>
  <c r="A6751" i="1"/>
  <c r="A4294" i="1"/>
  <c r="A7461" i="1"/>
  <c r="A7249" i="1"/>
  <c r="A7458" i="1"/>
  <c r="A5076" i="1"/>
  <c r="A7672" i="1"/>
  <c r="A2252" i="1"/>
  <c r="A617" i="1"/>
  <c r="A7425" i="1"/>
  <c r="A5063" i="1"/>
  <c r="A7422" i="1"/>
  <c r="A7442" i="1"/>
  <c r="A2409" i="1"/>
  <c r="A3358" i="1"/>
  <c r="A3339" i="1"/>
  <c r="A3372" i="1"/>
  <c r="A2870" i="1"/>
  <c r="A6744" i="1"/>
  <c r="A4625" i="1"/>
  <c r="A6737" i="1"/>
  <c r="A6477" i="1"/>
  <c r="A2885" i="1"/>
  <c r="A5029" i="1"/>
  <c r="A5352" i="1"/>
  <c r="A7638" i="1"/>
  <c r="A2408" i="1"/>
  <c r="A4080" i="1"/>
  <c r="A6754" i="1"/>
  <c r="A6739" i="1"/>
  <c r="A630" i="1"/>
  <c r="A3952" i="1"/>
  <c r="A5522" i="1"/>
  <c r="A5026" i="1"/>
  <c r="A4629" i="1"/>
  <c r="A8296" i="1"/>
  <c r="A6761" i="1"/>
  <c r="A5031" i="1"/>
  <c r="A2185" i="1"/>
  <c r="A2188" i="1"/>
  <c r="A6745" i="1"/>
  <c r="A8303" i="1"/>
  <c r="A7566" i="1"/>
  <c r="A2543" i="1"/>
  <c r="A2688" i="1"/>
  <c r="A4680" i="1"/>
  <c r="A7252" i="1"/>
  <c r="A8290" i="1"/>
  <c r="A4343" i="1"/>
  <c r="A7216" i="1"/>
  <c r="A6763" i="1"/>
  <c r="A4397" i="1"/>
  <c r="A7152" i="1"/>
  <c r="A7231" i="1"/>
  <c r="A6756" i="1"/>
  <c r="A7175" i="1"/>
  <c r="A6755" i="1"/>
  <c r="A7151" i="1"/>
  <c r="A4974" i="1"/>
  <c r="A7275" i="1"/>
  <c r="A7932" i="1"/>
  <c r="A7045" i="1"/>
  <c r="A2187" i="1"/>
  <c r="A567" i="1"/>
  <c r="A5131" i="1"/>
  <c r="A4679" i="1"/>
  <c r="A27" i="1"/>
  <c r="A2830" i="1"/>
  <c r="A5785" i="1"/>
  <c r="A3470" i="1"/>
  <c r="A3536" i="1"/>
  <c r="A5782" i="1"/>
  <c r="A3725" i="1"/>
  <c r="A602" i="1"/>
  <c r="A6762" i="1"/>
  <c r="A2403" i="1"/>
  <c r="A9443" i="1"/>
  <c r="A4749" i="1"/>
  <c r="A5577" i="1"/>
  <c r="A4465" i="1"/>
  <c r="A4467" i="1"/>
  <c r="A2534" i="1"/>
  <c r="A2748" i="1"/>
  <c r="A7133" i="1"/>
  <c r="A3896" i="1"/>
  <c r="A5787" i="1"/>
  <c r="A7212" i="1"/>
  <c r="A6765" i="1"/>
  <c r="A5156" i="1"/>
  <c r="A4393" i="1"/>
  <c r="A2416" i="1"/>
  <c r="A4468" i="1"/>
  <c r="A2415" i="1"/>
  <c r="A7505" i="1"/>
  <c r="A2459" i="1"/>
  <c r="A7110" i="1"/>
  <c r="A3374" i="1"/>
  <c r="A2985" i="1"/>
  <c r="A2986" i="1"/>
  <c r="A2414" i="1"/>
  <c r="A557" i="1"/>
  <c r="A6730" i="1"/>
  <c r="A8362" i="1"/>
  <c r="A2412" i="1"/>
  <c r="A8612" i="1"/>
  <c r="A2413" i="1"/>
  <c r="A5957" i="1"/>
  <c r="A7248" i="1"/>
  <c r="A5015" i="1"/>
  <c r="A8938" i="1"/>
  <c r="A7134" i="1"/>
  <c r="A6738" i="1"/>
  <c r="A7039" i="1"/>
  <c r="A5959" i="1"/>
  <c r="A5783" i="1"/>
  <c r="A7170" i="1"/>
  <c r="A4402" i="1"/>
  <c r="A5455" i="1"/>
  <c r="A3377" i="1"/>
  <c r="A6355" i="1"/>
  <c r="A3376" i="1"/>
  <c r="A6758" i="1"/>
  <c r="A4325" i="1"/>
  <c r="A6767" i="1"/>
  <c r="A4628" i="1"/>
  <c r="A4469" i="1"/>
  <c r="A4346" i="1"/>
  <c r="A3364" i="1"/>
  <c r="A3365" i="1"/>
  <c r="A3375" i="1"/>
  <c r="A2862" i="1"/>
  <c r="A8047" i="1"/>
  <c r="A8465" i="1"/>
  <c r="A4612" i="1"/>
  <c r="A558" i="1"/>
  <c r="A378" i="1"/>
  <c r="A8304" i="1"/>
  <c r="A2901" i="1"/>
  <c r="A4936" i="1"/>
  <c r="A4399" i="1"/>
  <c r="A8299" i="1"/>
  <c r="A7414" i="1"/>
  <c r="A7662" i="1"/>
  <c r="A236" i="1"/>
  <c r="A1344" i="1"/>
  <c r="A8301" i="1"/>
  <c r="A2875" i="1"/>
  <c r="A3765" i="1"/>
  <c r="A9445" i="1"/>
  <c r="A9325" i="1"/>
  <c r="A4293" i="1"/>
  <c r="A2566" i="1"/>
  <c r="A2864" i="1"/>
  <c r="A7695" i="1"/>
  <c r="A1676" i="1"/>
  <c r="A1669" i="1"/>
  <c r="A2883" i="1"/>
  <c r="A961" i="1"/>
  <c r="A232" i="1"/>
  <c r="A7274" i="1"/>
  <c r="A233" i="1"/>
  <c r="A6740" i="1"/>
  <c r="A563" i="1"/>
  <c r="A4630" i="1"/>
  <c r="A6742" i="1"/>
  <c r="A3900" i="1"/>
  <c r="A4398" i="1"/>
  <c r="A2890" i="1"/>
  <c r="A7147" i="1"/>
  <c r="A7126" i="1"/>
  <c r="A1759" i="1"/>
  <c r="A5786" i="1"/>
  <c r="A8291" i="1"/>
  <c r="A1667" i="1"/>
  <c r="A3898" i="1"/>
  <c r="A6760" i="1"/>
  <c r="A2148" i="1"/>
  <c r="A3718" i="1"/>
  <c r="A7770" i="1"/>
  <c r="A615" i="1"/>
  <c r="A565" i="1"/>
  <c r="A7230" i="1"/>
  <c r="A4395" i="1"/>
  <c r="A7965" i="1"/>
  <c r="A6330" i="1"/>
  <c r="A3369" i="1"/>
  <c r="A6729" i="1"/>
  <c r="A2401" i="1"/>
  <c r="A5971" i="1"/>
  <c r="A6011" i="1"/>
  <c r="A3149" i="1"/>
  <c r="A5826" i="1"/>
  <c r="A1986" i="1"/>
  <c r="A578" i="1"/>
  <c r="A5735" i="1"/>
  <c r="A3067" i="1"/>
  <c r="A3331" i="1"/>
  <c r="A2233" i="1"/>
  <c r="A5734" i="1"/>
  <c r="A4880" i="1"/>
  <c r="A5738" i="1"/>
  <c r="A3330" i="1"/>
  <c r="A4874" i="1"/>
  <c r="A6504" i="1"/>
  <c r="A1380" i="1"/>
  <c r="A3036" i="1"/>
  <c r="A1651" i="1"/>
  <c r="A9351" i="1"/>
  <c r="A3035" i="1"/>
  <c r="A9264" i="1"/>
  <c r="A4859" i="1"/>
  <c r="A1988" i="1"/>
  <c r="A7468" i="1"/>
  <c r="A4028" i="1"/>
  <c r="A9343" i="1"/>
  <c r="A9356" i="1"/>
  <c r="A2843" i="1"/>
  <c r="A3720" i="1"/>
  <c r="A2638" i="1"/>
  <c r="A3721" i="1"/>
  <c r="A4858" i="1"/>
  <c r="A5800" i="1"/>
  <c r="A5017" i="1"/>
  <c r="A2184" i="1"/>
  <c r="A5514" i="1"/>
  <c r="A1655" i="1"/>
  <c r="A560" i="1"/>
  <c r="A8003" i="1"/>
  <c r="A7992" i="1"/>
  <c r="A7808" i="1"/>
  <c r="A9327" i="1"/>
  <c r="A1375" i="1"/>
  <c r="A7433" i="1"/>
  <c r="A6222" i="1"/>
  <c r="A1987" i="1"/>
  <c r="A1990" i="1"/>
  <c r="A5795" i="1"/>
  <c r="A4894" i="1"/>
  <c r="A9342" i="1"/>
  <c r="A9313" i="1"/>
  <c r="A7114" i="1"/>
  <c r="A66" i="1"/>
  <c r="A936" i="1"/>
  <c r="A2552" i="1"/>
  <c r="A3363" i="1"/>
  <c r="A3648" i="1"/>
  <c r="A3789" i="1"/>
  <c r="A7214" i="1"/>
  <c r="A2661" i="1"/>
  <c r="A4439" i="1"/>
  <c r="A4901" i="1"/>
  <c r="A2982" i="1"/>
  <c r="A4712" i="1"/>
  <c r="A1749" i="1"/>
  <c r="A6281" i="1"/>
  <c r="A1183" i="1"/>
  <c r="A1659" i="1"/>
  <c r="A1658" i="1"/>
  <c r="A7350" i="1"/>
  <c r="A7104" i="1"/>
  <c r="A5457" i="1"/>
  <c r="A3897" i="1"/>
  <c r="A2889" i="1"/>
  <c r="A6224" i="1"/>
  <c r="A1330" i="1"/>
  <c r="A1654" i="1"/>
  <c r="A1178" i="1"/>
  <c r="A5737" i="1"/>
  <c r="A1652" i="1"/>
  <c r="A8511" i="1"/>
  <c r="A6352" i="1"/>
  <c r="A4866" i="1"/>
  <c r="A5451" i="1"/>
  <c r="A6141" i="1"/>
  <c r="A9344" i="1"/>
  <c r="A5868" i="1"/>
  <c r="A7619" i="1"/>
  <c r="A8741" i="1"/>
  <c r="A3792" i="1"/>
  <c r="A9346" i="1"/>
  <c r="A1653" i="1"/>
  <c r="A4313" i="1"/>
  <c r="A4903" i="1"/>
  <c r="A6129" i="1"/>
  <c r="A1537" i="1"/>
  <c r="A9386" i="1"/>
  <c r="A5901" i="1"/>
  <c r="A6213" i="1"/>
  <c r="A2856" i="1"/>
  <c r="A6449" i="1"/>
  <c r="A1976" i="1"/>
  <c r="A6816" i="1"/>
  <c r="A5225" i="1"/>
  <c r="A8075" i="1"/>
  <c r="A1751" i="1"/>
  <c r="A8794" i="1"/>
  <c r="A8218" i="1"/>
  <c r="A9174" i="1"/>
  <c r="A6588" i="1"/>
  <c r="A1995" i="1"/>
  <c r="A9158" i="1"/>
  <c r="A7736" i="1"/>
  <c r="A4063" i="1"/>
  <c r="A2410" i="1"/>
  <c r="A9582" i="1"/>
  <c r="A9553" i="1"/>
  <c r="A4881" i="1"/>
  <c r="A7831" i="1"/>
  <c r="A7731" i="1"/>
  <c r="A9565" i="1"/>
  <c r="A7616" i="1"/>
  <c r="A7737" i="1"/>
  <c r="A7738" i="1"/>
  <c r="A9318" i="1"/>
  <c r="A9328" i="1"/>
  <c r="A9321" i="1"/>
  <c r="A2574" i="1"/>
  <c r="A9320" i="1"/>
  <c r="A2745" i="1"/>
  <c r="A5905" i="1"/>
  <c r="A3073" i="1"/>
  <c r="A5904" i="1"/>
  <c r="A6879" i="1"/>
  <c r="A4885" i="1"/>
  <c r="A3072" i="1"/>
  <c r="A1795" i="1"/>
  <c r="A2844" i="1"/>
  <c r="A8008" i="1"/>
  <c r="A5321" i="1"/>
  <c r="A6906" i="1"/>
  <c r="A4740" i="1"/>
  <c r="A7456" i="1"/>
  <c r="A4860" i="1"/>
  <c r="A3431" i="1"/>
  <c r="A5784" i="1"/>
  <c r="A8955" i="1"/>
  <c r="A6069" i="1"/>
  <c r="A2243" i="1"/>
  <c r="A1805" i="1"/>
  <c r="A6054" i="1"/>
  <c r="A1806" i="1"/>
  <c r="A4611" i="1"/>
  <c r="A4610" i="1"/>
  <c r="A2567" i="1"/>
  <c r="A9323" i="1"/>
  <c r="A8555" i="1"/>
  <c r="A7317" i="1"/>
  <c r="A3074" i="1"/>
  <c r="A8494" i="1"/>
  <c r="A2662" i="1"/>
  <c r="A9322" i="1"/>
  <c r="A7462" i="1"/>
  <c r="A7445" i="1"/>
  <c r="A5289" i="1"/>
  <c r="A1846" i="1"/>
  <c r="A6404" i="1"/>
  <c r="A7742" i="1"/>
  <c r="A5360" i="1"/>
  <c r="A579" i="1"/>
  <c r="A8681" i="1"/>
  <c r="A6232" i="1"/>
  <c r="A8556" i="1"/>
  <c r="A2904" i="1"/>
  <c r="A4711" i="1"/>
  <c r="A9316" i="1"/>
  <c r="A6632" i="1"/>
  <c r="A4855" i="1"/>
  <c r="A8686" i="1"/>
  <c r="A2366" i="1"/>
  <c r="A4706" i="1"/>
  <c r="A46" i="1"/>
  <c r="A7192" i="1"/>
  <c r="A5025" i="1"/>
  <c r="A7306" i="1"/>
  <c r="A2563" i="1"/>
  <c r="A5527" i="1"/>
  <c r="A2565" i="1"/>
  <c r="A4574" i="1"/>
  <c r="A4447" i="1"/>
  <c r="A2739" i="1"/>
  <c r="A5854" i="1"/>
  <c r="A2641" i="1"/>
  <c r="A6861" i="1"/>
  <c r="A5203" i="1"/>
  <c r="A1834" i="1"/>
  <c r="A161" i="1"/>
  <c r="A7567" i="1"/>
  <c r="A2956" i="1"/>
  <c r="A3560" i="1"/>
  <c r="A5008" i="1"/>
  <c r="A5028" i="1"/>
  <c r="A6881" i="1"/>
  <c r="A8839" i="1"/>
  <c r="A2559" i="1"/>
  <c r="A3823" i="1"/>
  <c r="A2145" i="1"/>
  <c r="A5855" i="1"/>
  <c r="A7479" i="1"/>
  <c r="A3804" i="1"/>
  <c r="A268" i="1"/>
  <c r="A6417" i="1"/>
  <c r="A749" i="1"/>
  <c r="A1913" i="1"/>
  <c r="A1914" i="1"/>
  <c r="A1977" i="1"/>
  <c r="A5096" i="1"/>
  <c r="A5473" i="1"/>
  <c r="A7515" i="1"/>
  <c r="A7854" i="1"/>
  <c r="A7848" i="1"/>
  <c r="A1005" i="1"/>
  <c r="A2741" i="1"/>
  <c r="A7841" i="1"/>
  <c r="A1331" i="1"/>
  <c r="A7875" i="1"/>
  <c r="A3954" i="1"/>
  <c r="A8126" i="1"/>
  <c r="A7975" i="1"/>
  <c r="A1348" i="1"/>
  <c r="A4930" i="1"/>
  <c r="A4241" i="1"/>
  <c r="A2736" i="1"/>
  <c r="A4158" i="1"/>
  <c r="A7864" i="1"/>
  <c r="A2738" i="1"/>
  <c r="A6503" i="1"/>
  <c r="A5998" i="1"/>
  <c r="A7509" i="1"/>
  <c r="A966" i="1"/>
  <c r="A2571" i="1"/>
  <c r="A9345" i="1"/>
  <c r="A1864" i="1"/>
  <c r="A1733" i="1"/>
  <c r="A5146" i="1"/>
  <c r="A9354" i="1"/>
  <c r="A6209" i="1"/>
  <c r="A5142" i="1"/>
  <c r="A1737" i="1"/>
  <c r="A1982" i="1"/>
  <c r="A8905" i="1"/>
  <c r="A7876" i="1"/>
  <c r="A1981" i="1"/>
  <c r="A5869" i="1"/>
  <c r="A7631" i="1"/>
  <c r="A1971" i="1"/>
  <c r="A1972" i="1"/>
  <c r="A1915" i="1"/>
  <c r="A8111" i="1"/>
  <c r="A1974" i="1"/>
  <c r="A7986" i="1"/>
  <c r="A7985" i="1"/>
  <c r="A8457" i="1"/>
  <c r="A5736" i="1"/>
  <c r="A4008" i="1"/>
  <c r="A4007" i="1"/>
  <c r="A4802" i="1"/>
  <c r="A743" i="1"/>
  <c r="A7075" i="1"/>
  <c r="A6231" i="1"/>
  <c r="A8206" i="1"/>
  <c r="A8997" i="1"/>
  <c r="A4197" i="1"/>
  <c r="A4868" i="1"/>
  <c r="A2860" i="1"/>
  <c r="A67" i="1"/>
  <c r="A3702" i="1"/>
  <c r="A8127" i="1"/>
  <c r="A3162" i="1"/>
  <c r="A6122" i="1"/>
  <c r="A2570" i="1"/>
  <c r="A8119" i="1"/>
  <c r="A971" i="1"/>
  <c r="A972" i="1"/>
  <c r="A3104" i="1"/>
  <c r="A3771" i="1"/>
  <c r="A2573" i="1"/>
  <c r="A8402" i="1"/>
  <c r="A2558" i="1"/>
  <c r="A7717" i="1"/>
  <c r="A9348" i="1"/>
  <c r="A3757" i="1"/>
  <c r="A9353" i="1"/>
  <c r="A8156" i="1"/>
  <c r="A9355" i="1"/>
  <c r="A2572" i="1"/>
  <c r="A3160" i="1"/>
  <c r="A9347" i="1"/>
  <c r="A8405" i="1"/>
  <c r="A8407" i="1"/>
  <c r="A7481" i="1"/>
  <c r="A2564" i="1"/>
  <c r="A8136" i="1"/>
  <c r="A8149" i="1"/>
  <c r="A973" i="1"/>
  <c r="A8729" i="1"/>
  <c r="A4928" i="1"/>
  <c r="A8713" i="1"/>
  <c r="A3161" i="1"/>
  <c r="A4853" i="1"/>
  <c r="A7983" i="1"/>
  <c r="A2955" i="1"/>
  <c r="A3680" i="1"/>
  <c r="A5519" i="1"/>
  <c r="A8568" i="1"/>
  <c r="A8522" i="1"/>
  <c r="A5139" i="1"/>
  <c r="A2737" i="1"/>
  <c r="A1833" i="1"/>
  <c r="A7870" i="1"/>
  <c r="A7085" i="1"/>
  <c r="A7511" i="1"/>
  <c r="A2154" i="1"/>
  <c r="A1912" i="1"/>
  <c r="A8730" i="1"/>
  <c r="A5866" i="1"/>
  <c r="A7607" i="1"/>
  <c r="A5228" i="1"/>
  <c r="A6574" i="1"/>
  <c r="A5865" i="1"/>
  <c r="A7514" i="1"/>
  <c r="A5867" i="1"/>
  <c r="A7512" i="1"/>
  <c r="A4659" i="1"/>
  <c r="A4441" i="1"/>
  <c r="A3719" i="1"/>
  <c r="A7513" i="1"/>
  <c r="A4658" i="1"/>
  <c r="A2569" i="1"/>
  <c r="A3766" i="1"/>
  <c r="A4438" i="1"/>
  <c r="A2918" i="1"/>
  <c r="A4662" i="1"/>
  <c r="A1119" i="1"/>
  <c r="A6940" i="1"/>
  <c r="A4440" i="1"/>
  <c r="A5870" i="1"/>
  <c r="A7508" i="1"/>
  <c r="A7574" i="1"/>
  <c r="A6699" i="1"/>
  <c r="A7821" i="1"/>
  <c r="A6681" i="1"/>
  <c r="A1831" i="1"/>
  <c r="A4450" i="1"/>
  <c r="A4888" i="1"/>
  <c r="A3991" i="1"/>
  <c r="A9390" i="1"/>
  <c r="A1214" i="1"/>
  <c r="A5496" i="1"/>
  <c r="A5520" i="1"/>
  <c r="A4887" i="1"/>
  <c r="A7074" i="1"/>
  <c r="A5478" i="1"/>
  <c r="A7353" i="1"/>
  <c r="A9444" i="1"/>
  <c r="A6206" i="1"/>
  <c r="A664" i="1"/>
  <c r="A5400" i="1"/>
  <c r="A4927" i="1"/>
  <c r="A7355" i="1"/>
  <c r="A685" i="1"/>
  <c r="A1975" i="1"/>
  <c r="A7781" i="1"/>
  <c r="A3601" i="1"/>
  <c r="A2699" i="1"/>
  <c r="A9166" i="1"/>
  <c r="A6639" i="1"/>
  <c r="A5168" i="1"/>
  <c r="A2742" i="1"/>
  <c r="A9162" i="1"/>
  <c r="A3441" i="1"/>
  <c r="A1888" i="1"/>
  <c r="A2193" i="1"/>
  <c r="A8055" i="1"/>
  <c r="A6795" i="1"/>
  <c r="A7136" i="1"/>
  <c r="A8045" i="1"/>
  <c r="A5075" i="1"/>
  <c r="A8043" i="1"/>
  <c r="A4669" i="1"/>
  <c r="A90" i="1"/>
  <c r="A6487" i="1"/>
  <c r="A3367" i="1"/>
  <c r="A6882" i="1"/>
  <c r="A4290" i="1"/>
  <c r="A4929" i="1"/>
  <c r="A4287" i="1"/>
  <c r="A8399" i="1"/>
  <c r="A4075" i="1"/>
  <c r="A7281" i="1"/>
  <c r="A1693" i="1"/>
  <c r="A4931" i="1"/>
  <c r="A3953" i="1"/>
  <c r="A7984" i="1"/>
  <c r="A3961" i="1"/>
  <c r="A7630" i="1"/>
  <c r="A1832" i="1"/>
  <c r="A2859" i="1"/>
  <c r="A7354" i="1"/>
  <c r="A4787" i="1"/>
  <c r="A856" i="1"/>
  <c r="A3974" i="1"/>
  <c r="A9218" i="1"/>
  <c r="A5221" i="1"/>
  <c r="A1777" i="1"/>
  <c r="A9442" i="1"/>
  <c r="A3318" i="1"/>
  <c r="A2058" i="1"/>
  <c r="A8294" i="1"/>
  <c r="A7735" i="1"/>
  <c r="A2059" i="1"/>
  <c r="A2150" i="1"/>
  <c r="A4579" i="1"/>
  <c r="A8680" i="1"/>
  <c r="A9570" i="1"/>
  <c r="A7749" i="1"/>
  <c r="A3698" i="1"/>
  <c r="A3032" i="1"/>
  <c r="A5620" i="1"/>
  <c r="A9467" i="1"/>
  <c r="A8086" i="1"/>
  <c r="A5981" i="1"/>
  <c r="A2055" i="1"/>
  <c r="A8677" i="1"/>
  <c r="A8931" i="1"/>
  <c r="A1483" i="1"/>
  <c r="A1575" i="1"/>
  <c r="A7620" i="1"/>
  <c r="A8909" i="1"/>
  <c r="A6647" i="1"/>
  <c r="A6811" i="1"/>
  <c r="A8908" i="1"/>
  <c r="A1674" i="1"/>
  <c r="A8329" i="1"/>
  <c r="A8330" i="1"/>
  <c r="A8328" i="1"/>
  <c r="A1128" i="1"/>
  <c r="A8946" i="1"/>
  <c r="A6885" i="1"/>
  <c r="A3443" i="1"/>
  <c r="A3444" i="1"/>
  <c r="A5271" i="1"/>
  <c r="A1758" i="1"/>
  <c r="A6928" i="1"/>
  <c r="A5272" i="1"/>
  <c r="A8911" i="1"/>
  <c r="A6814" i="1"/>
  <c r="A6812" i="1"/>
  <c r="A3695" i="1"/>
  <c r="A1671" i="1"/>
  <c r="A24" i="1"/>
  <c r="A8914" i="1"/>
  <c r="A6930" i="1"/>
  <c r="A2750" i="1"/>
  <c r="A3696" i="1"/>
  <c r="A1673" i="1"/>
  <c r="A8326" i="1"/>
  <c r="A8913" i="1"/>
  <c r="A6929" i="1"/>
  <c r="A3703" i="1"/>
  <c r="A4322" i="1"/>
  <c r="A5268" i="1"/>
  <c r="A2112" i="1"/>
  <c r="A8912" i="1"/>
  <c r="A5022" i="1"/>
  <c r="A8327" i="1"/>
  <c r="A6734" i="1"/>
  <c r="A1033" i="1"/>
  <c r="A175" i="1"/>
  <c r="A8910" i="1"/>
  <c r="A7361" i="1"/>
  <c r="A5403" i="1"/>
  <c r="A6023" i="1"/>
  <c r="A5263" i="1"/>
  <c r="A3518" i="1"/>
  <c r="A5814" i="1"/>
  <c r="A6318" i="1"/>
  <c r="A1719" i="1"/>
  <c r="A4079" i="1"/>
  <c r="A7352" i="1"/>
  <c r="A5064" i="1"/>
  <c r="A1736" i="1"/>
  <c r="A9544" i="1"/>
  <c r="A1739" i="1"/>
  <c r="A3950" i="1"/>
  <c r="A611" i="1"/>
  <c r="A1479" i="1"/>
  <c r="A619" i="1"/>
  <c r="A1744" i="1"/>
  <c r="A3984" i="1"/>
  <c r="A5002" i="1"/>
  <c r="A3457" i="1"/>
  <c r="A6752" i="1"/>
  <c r="A5003" i="1"/>
  <c r="A5069" i="1"/>
  <c r="A5085" i="1"/>
  <c r="A3540" i="1"/>
  <c r="A3945" i="1"/>
  <c r="A4131" i="1"/>
  <c r="A4997" i="1"/>
  <c r="A3995" i="1"/>
  <c r="A5448" i="1"/>
  <c r="A5454" i="1"/>
  <c r="A5453" i="1"/>
  <c r="A5450" i="1"/>
  <c r="A7744" i="1"/>
  <c r="A5001" i="1"/>
  <c r="A1496" i="1"/>
  <c r="A3345" i="1"/>
  <c r="A4998" i="1"/>
  <c r="A4996" i="1"/>
  <c r="A5071" i="1"/>
  <c r="A1743" i="1"/>
  <c r="A4036" i="1"/>
  <c r="A4999" i="1"/>
  <c r="A9543" i="1"/>
  <c r="A9542" i="1"/>
  <c r="A2235" i="1"/>
  <c r="A3942" i="1"/>
  <c r="A4032" i="1"/>
  <c r="A7109" i="1"/>
  <c r="A1301" i="1"/>
  <c r="A8521" i="1"/>
  <c r="A4788" i="1"/>
  <c r="A6862" i="1"/>
  <c r="A7351" i="1"/>
  <c r="A1114" i="1"/>
  <c r="A3832" i="1"/>
  <c r="A5853" i="1"/>
  <c r="A7095" i="1"/>
  <c r="A7397" i="1"/>
  <c r="A747" i="1"/>
  <c r="A49" i="1"/>
  <c r="A9021" i="1"/>
  <c r="A8810" i="1"/>
  <c r="A1233" i="1"/>
  <c r="A4902" i="1"/>
  <c r="A6895" i="1"/>
  <c r="A6894" i="1"/>
  <c r="A1548" i="1"/>
  <c r="A44" i="1"/>
  <c r="A1894" i="1"/>
  <c r="A5590" i="1"/>
  <c r="A2827" i="1"/>
  <c r="A8811" i="1"/>
  <c r="A5805" i="1"/>
  <c r="A8688" i="1"/>
  <c r="A5260" i="1"/>
  <c r="A6506" i="1"/>
  <c r="A3833" i="1"/>
  <c r="A7780" i="1"/>
  <c r="A7919" i="1"/>
  <c r="A3827" i="1"/>
  <c r="A48" i="1"/>
  <c r="A3042" i="1"/>
  <c r="A1447" i="1"/>
  <c r="A7933" i="1"/>
  <c r="A6893" i="1"/>
  <c r="A1898" i="1"/>
  <c r="A859" i="1"/>
  <c r="A7947" i="1"/>
  <c r="A3941" i="1"/>
  <c r="A405" i="1"/>
  <c r="A7946" i="1"/>
  <c r="A1896" i="1"/>
  <c r="A1897" i="1"/>
  <c r="A804" i="1"/>
  <c r="A8799" i="1"/>
  <c r="A9483" i="1"/>
  <c r="A9481" i="1"/>
  <c r="A978" i="1"/>
  <c r="A7064" i="1"/>
  <c r="A2060" i="1"/>
  <c r="A4295" i="1"/>
  <c r="A9484" i="1"/>
  <c r="A23" i="1"/>
  <c r="A5010" i="1"/>
  <c r="A6804" i="1"/>
  <c r="A1843" i="1"/>
  <c r="A9485" i="1"/>
  <c r="A7654" i="1"/>
  <c r="A6860" i="1"/>
  <c r="A9501" i="1"/>
  <c r="A8520" i="1"/>
  <c r="A9151" i="1"/>
  <c r="A6731" i="1"/>
  <c r="A5420" i="1"/>
  <c r="A4804" i="1"/>
  <c r="A9172" i="1"/>
  <c r="A5371" i="1"/>
  <c r="A1337" i="1"/>
  <c r="A8842" i="1"/>
  <c r="A5419" i="1"/>
  <c r="A5413" i="1"/>
  <c r="A5955" i="1"/>
  <c r="A8603" i="1"/>
  <c r="A5072" i="1"/>
  <c r="A8687" i="1"/>
  <c r="A7082" i="1"/>
  <c r="A6805" i="1"/>
  <c r="A104" i="1"/>
  <c r="A103" i="1"/>
  <c r="A8804" i="1"/>
  <c r="A3587" i="1"/>
  <c r="A488" i="1"/>
  <c r="A94" i="1"/>
  <c r="A8523" i="1"/>
  <c r="A9493" i="1"/>
  <c r="A746" i="1"/>
  <c r="A3305" i="1"/>
  <c r="A444" i="1"/>
  <c r="A2703" i="1"/>
  <c r="A9341" i="1"/>
  <c r="A7935" i="1"/>
  <c r="A2138" i="1"/>
  <c r="A6386" i="1"/>
  <c r="A5486" i="1"/>
  <c r="A5415" i="1"/>
  <c r="A766" i="1"/>
  <c r="A8509" i="1"/>
  <c r="A9491" i="1"/>
  <c r="A8780" i="1"/>
  <c r="A5078" i="1"/>
  <c r="A3847" i="1"/>
  <c r="A8587" i="1"/>
  <c r="A5484" i="1"/>
  <c r="A6747" i="1"/>
  <c r="A9503" i="1"/>
  <c r="A7834" i="1"/>
  <c r="A1551" i="1"/>
  <c r="A9305" i="1"/>
  <c r="A9304" i="1"/>
  <c r="A7653" i="1"/>
  <c r="A487" i="1"/>
  <c r="A1842" i="1"/>
  <c r="A7739" i="1"/>
  <c r="A2701" i="1"/>
  <c r="A6806" i="1"/>
  <c r="A6896" i="1"/>
  <c r="A5169" i="1"/>
  <c r="A8513" i="1"/>
  <c r="A5408" i="1"/>
  <c r="A6884" i="1"/>
  <c r="A9494" i="1"/>
  <c r="A744" i="1"/>
  <c r="A9259" i="1"/>
  <c r="A8519" i="1"/>
  <c r="A9136" i="1"/>
  <c r="A9324" i="1"/>
  <c r="A5770" i="1"/>
  <c r="A3849" i="1"/>
  <c r="A6749" i="1"/>
  <c r="A3586" i="1"/>
  <c r="A6329" i="1"/>
  <c r="A3307" i="1"/>
  <c r="A5409" i="1"/>
  <c r="A960" i="1"/>
  <c r="A8058" i="1"/>
  <c r="A7495" i="1"/>
  <c r="A3761" i="1"/>
  <c r="A6807" i="1"/>
  <c r="A1839" i="1"/>
  <c r="A1274" i="1"/>
  <c r="A3590" i="1"/>
  <c r="A9502" i="1"/>
  <c r="A5411" i="1"/>
  <c r="A2704" i="1"/>
  <c r="A2733" i="1"/>
  <c r="A2837" i="1"/>
  <c r="A3309" i="1"/>
  <c r="A5518" i="1"/>
  <c r="A8782" i="1"/>
  <c r="A8540" i="1"/>
  <c r="A3851" i="1"/>
  <c r="A3926" i="1"/>
  <c r="A8512" i="1"/>
  <c r="A6898" i="1"/>
  <c r="A4803" i="1"/>
  <c r="A977" i="1"/>
  <c r="A4682" i="1"/>
  <c r="A8541" i="1"/>
  <c r="A8510" i="1"/>
  <c r="A556" i="1"/>
  <c r="A8542" i="1"/>
  <c r="A2541" i="1"/>
  <c r="A745" i="1"/>
  <c r="A1902" i="1"/>
  <c r="A4655" i="1"/>
  <c r="A4784" i="1"/>
  <c r="A562" i="1"/>
  <c r="A4799" i="1"/>
  <c r="A2388" i="1"/>
  <c r="A7264" i="1"/>
  <c r="A1082" i="1"/>
  <c r="A6741" i="1"/>
  <c r="A6728" i="1"/>
  <c r="A4404" i="1"/>
  <c r="A3045" i="1"/>
  <c r="A6148" i="1"/>
  <c r="A9486" i="1"/>
  <c r="A7232" i="1"/>
  <c r="A6735" i="1"/>
  <c r="A8297" i="1"/>
  <c r="A5115" i="1"/>
  <c r="A3046" i="1"/>
  <c r="A1448" i="1"/>
  <c r="A2556" i="1"/>
  <c r="A3762" i="1"/>
  <c r="A3923" i="1"/>
  <c r="A8298" i="1"/>
  <c r="A7229" i="1"/>
  <c r="A5404" i="1"/>
  <c r="A3701" i="1"/>
  <c r="A8803" i="1"/>
  <c r="A3665" i="1"/>
  <c r="A5152" i="1"/>
  <c r="A2555" i="1"/>
  <c r="A3043" i="1"/>
  <c r="A1474" i="1"/>
  <c r="A2725" i="1"/>
  <c r="A3044" i="1"/>
  <c r="A2194" i="1"/>
  <c r="A3094" i="1"/>
  <c r="A5153" i="1"/>
  <c r="A2965" i="1"/>
  <c r="A9487" i="1"/>
  <c r="A569" i="1"/>
  <c r="A1081" i="1"/>
  <c r="A8302" i="1"/>
  <c r="A2740" i="1"/>
  <c r="A8293" i="1"/>
  <c r="A4862" i="1"/>
  <c r="A7236" i="1"/>
  <c r="A9099" i="1"/>
  <c r="A4746" i="1"/>
  <c r="A3589" i="1"/>
  <c r="A1887" i="1"/>
  <c r="A8364" i="1"/>
  <c r="A3013" i="1"/>
  <c r="A8353" i="1"/>
  <c r="A8809" i="1"/>
  <c r="A97" i="1"/>
  <c r="A8015" i="1"/>
  <c r="A5065" i="1"/>
  <c r="A2073" i="1"/>
  <c r="A3919" i="1"/>
  <c r="A9525" i="1"/>
  <c r="A4794" i="1"/>
  <c r="A6859" i="1"/>
  <c r="A4795" i="1"/>
  <c r="A3922" i="1"/>
  <c r="A8828" i="1"/>
  <c r="A2411" i="1"/>
  <c r="A5675" i="1"/>
  <c r="A1985" i="1"/>
  <c r="A5517" i="1"/>
  <c r="A6396" i="1"/>
  <c r="A8616" i="1"/>
  <c r="A5369" i="1"/>
  <c r="A7112" i="1"/>
  <c r="A5373" i="1"/>
  <c r="A4801" i="1"/>
  <c r="A3328" i="1"/>
  <c r="A4742" i="1"/>
  <c r="A7078" i="1"/>
  <c r="A8394" i="1"/>
  <c r="A8395" i="1"/>
  <c r="A577" i="1"/>
  <c r="A6899" i="1"/>
  <c r="A3826" i="1"/>
  <c r="A329" i="1"/>
  <c r="A6902" i="1"/>
  <c r="A4748" i="1"/>
  <c r="A2560" i="1"/>
  <c r="A1892" i="1"/>
  <c r="A1755" i="1"/>
  <c r="A8857" i="1"/>
  <c r="A1452" i="1"/>
  <c r="A1544" i="1"/>
  <c r="A2280" i="1"/>
  <c r="A3359" i="1"/>
  <c r="A570" i="1"/>
  <c r="A5416" i="1"/>
  <c r="A484" i="1"/>
  <c r="A8678" i="1"/>
  <c r="A9547" i="1"/>
  <c r="A7316" i="1"/>
  <c r="A9242" i="1"/>
  <c r="A2382" i="1"/>
  <c r="A7502" i="1"/>
  <c r="A2721" i="1"/>
  <c r="A8732" i="1"/>
  <c r="A7506" i="1"/>
  <c r="A2829" i="1"/>
  <c r="A2724" i="1"/>
  <c r="A750" i="1"/>
  <c r="A7504" i="1"/>
  <c r="A3471" i="1"/>
  <c r="A2195" i="1"/>
  <c r="A2722" i="1"/>
  <c r="A4113" i="1"/>
  <c r="A7294" i="1"/>
  <c r="A3973" i="1"/>
  <c r="A306" i="1"/>
  <c r="A8820" i="1"/>
  <c r="A8355" i="1"/>
  <c r="A9488" i="1"/>
  <c r="A2966" i="1"/>
  <c r="A1828" i="1"/>
  <c r="A7561" i="1"/>
  <c r="A4796" i="1"/>
  <c r="A2723" i="1"/>
  <c r="A9057" i="1"/>
  <c r="A2825" i="1"/>
  <c r="A8725" i="1"/>
  <c r="A5674" i="1"/>
  <c r="A280" i="1"/>
  <c r="A7238" i="1"/>
  <c r="A7503" i="1"/>
  <c r="A2813" i="1"/>
  <c r="A8717" i="1"/>
  <c r="A2734" i="1"/>
  <c r="A9435" i="1"/>
  <c r="A6331" i="1"/>
  <c r="A449" i="1"/>
  <c r="A7202" i="1"/>
  <c r="A7223" i="1"/>
  <c r="A748" i="1"/>
  <c r="A8295" i="1"/>
  <c r="A7201" i="1"/>
  <c r="A418" i="1"/>
  <c r="A491" i="1"/>
  <c r="A2405" i="1"/>
  <c r="A3669" i="1"/>
  <c r="A2544" i="1"/>
  <c r="A3602" i="1"/>
  <c r="A498" i="1"/>
  <c r="A2551" i="1"/>
  <c r="A3605" i="1"/>
  <c r="A3542" i="1"/>
  <c r="A3267" i="1"/>
  <c r="A2537" i="1"/>
  <c r="A4586" i="1"/>
  <c r="A5073" i="1"/>
  <c r="A5676" i="1"/>
  <c r="A7449" i="1"/>
  <c r="A3508" i="1"/>
  <c r="A3256" i="1"/>
  <c r="A8440" i="1"/>
  <c r="A3510" i="1"/>
  <c r="A5264" i="1"/>
  <c r="A3509" i="1"/>
  <c r="A1309" i="1"/>
  <c r="A4739" i="1"/>
  <c r="A76" i="1"/>
  <c r="A5751" i="1"/>
  <c r="A7617" i="1"/>
  <c r="A5040" i="1"/>
  <c r="A3737" i="1"/>
  <c r="A8259" i="1"/>
  <c r="A6993" i="1"/>
  <c r="A3650" i="1"/>
  <c r="A3670" i="1"/>
  <c r="A4735" i="1"/>
  <c r="A1324" i="1"/>
  <c r="A6083" i="1"/>
  <c r="A3643" i="1"/>
  <c r="A5877" i="1"/>
  <c r="A5831" i="1"/>
  <c r="A3515" i="1"/>
  <c r="A3266" i="1"/>
  <c r="A7651" i="1"/>
  <c r="A6596" i="1"/>
  <c r="A4667" i="1"/>
  <c r="A6597" i="1"/>
  <c r="A7628" i="1"/>
  <c r="A1814" i="1"/>
  <c r="A1321" i="1"/>
  <c r="A6106" i="1"/>
  <c r="A6043" i="1"/>
  <c r="A8611" i="1"/>
  <c r="A5704" i="1"/>
  <c r="A3215" i="1"/>
  <c r="A7963" i="1"/>
  <c r="A8189" i="1"/>
  <c r="A5292" i="1"/>
  <c r="A6646" i="1"/>
  <c r="A7942" i="1"/>
  <c r="A5147" i="1"/>
  <c r="A5881" i="1"/>
  <c r="A8661" i="1"/>
  <c r="A6353" i="1"/>
  <c r="A5874" i="1"/>
  <c r="A7483" i="1"/>
  <c r="A5879" i="1"/>
  <c r="A5044" i="1"/>
  <c r="A3699" i="1"/>
  <c r="A235" i="1"/>
  <c r="A6032" i="1"/>
  <c r="A5875" i="1"/>
  <c r="A2547" i="1"/>
  <c r="A3651" i="1"/>
  <c r="A1439" i="1"/>
  <c r="A5534" i="1"/>
  <c r="A9350" i="1"/>
  <c r="A645" i="1"/>
  <c r="A9349" i="1"/>
  <c r="A5533" i="1"/>
  <c r="A192" i="1"/>
  <c r="A3653" i="1"/>
  <c r="A7853" i="1"/>
  <c r="A8591" i="1"/>
  <c r="A3271" i="1"/>
  <c r="A1589" i="1"/>
  <c r="A7251" i="1"/>
  <c r="A500" i="1"/>
  <c r="A3889" i="1"/>
  <c r="A7291" i="1"/>
  <c r="A4840" i="1"/>
  <c r="A7290" i="1"/>
  <c r="A3668" i="1"/>
  <c r="A7652" i="1"/>
  <c r="A7698" i="1"/>
  <c r="A5126" i="1"/>
  <c r="A7255" i="1"/>
  <c r="A2461" i="1"/>
  <c r="A7467" i="1"/>
  <c r="A7431" i="1"/>
  <c r="A9352" i="1"/>
  <c r="A2454" i="1"/>
  <c r="A5224" i="1"/>
  <c r="A5081" i="1"/>
  <c r="A6070" i="1"/>
  <c r="A3645" i="1"/>
  <c r="A6095" i="1"/>
  <c r="A5915" i="1"/>
  <c r="A7213" i="1"/>
  <c r="A7215" i="1"/>
  <c r="A7219" i="1"/>
  <c r="A6685" i="1"/>
  <c r="A6594" i="1"/>
  <c r="A5047" i="1"/>
  <c r="A3735" i="1"/>
  <c r="A6377" i="1"/>
  <c r="A5039" i="1"/>
  <c r="A9080" i="1"/>
  <c r="A3565" i="1"/>
  <c r="A3341" i="1"/>
  <c r="A5265" i="1"/>
  <c r="A3326" i="1"/>
  <c r="A6648" i="1"/>
  <c r="A6324" i="1"/>
  <c r="A1325" i="1"/>
  <c r="A3751" i="1"/>
  <c r="A6614" i="1"/>
  <c r="A234" i="1"/>
  <c r="A7993" i="1"/>
  <c r="A3671" i="1"/>
  <c r="A5049" i="1"/>
  <c r="A5050" i="1"/>
  <c r="A1545" i="1"/>
  <c r="A3728" i="1"/>
  <c r="A2914" i="1"/>
  <c r="A3556" i="1"/>
  <c r="A3656" i="1"/>
  <c r="A3272" i="1"/>
  <c r="A5226" i="1"/>
  <c r="A5046" i="1"/>
  <c r="A3659" i="1"/>
  <c r="A3661" i="1"/>
  <c r="A5920" i="1"/>
  <c r="A187" i="1"/>
  <c r="A6625" i="1"/>
  <c r="A173" i="1"/>
  <c r="A6340" i="1"/>
  <c r="A6066" i="1"/>
  <c r="A6644" i="1"/>
  <c r="A6622" i="1"/>
  <c r="A4636" i="1"/>
  <c r="A1320" i="1"/>
  <c r="A5911" i="1"/>
  <c r="A7322" i="1"/>
  <c r="A5032" i="1"/>
  <c r="A6087" i="1"/>
  <c r="A3729" i="1"/>
  <c r="A7618" i="1"/>
  <c r="A7176" i="1"/>
  <c r="A6223" i="1"/>
  <c r="A3644" i="1"/>
  <c r="A4096" i="1"/>
  <c r="A1527" i="1"/>
  <c r="A6056" i="1"/>
  <c r="A7893" i="1"/>
  <c r="A3646" i="1"/>
  <c r="A5829" i="1"/>
  <c r="A5916" i="1"/>
  <c r="A5280" i="1"/>
  <c r="A1528" i="1"/>
  <c r="A5830" i="1"/>
  <c r="A3554" i="1"/>
  <c r="A6055" i="1"/>
  <c r="A438" i="1"/>
  <c r="A215" i="1"/>
  <c r="A193" i="1"/>
  <c r="A3689" i="1"/>
  <c r="A9025" i="1"/>
  <c r="A3649" i="1"/>
  <c r="A5918" i="1"/>
  <c r="A8262" i="1"/>
  <c r="A6039" i="1"/>
  <c r="A5828" i="1"/>
  <c r="A6034" i="1"/>
  <c r="A3672" i="1"/>
  <c r="A3324" i="1"/>
  <c r="A6062" i="1"/>
  <c r="A8256" i="1"/>
  <c r="A6637" i="1"/>
  <c r="A47" i="1"/>
  <c r="A8210" i="1"/>
  <c r="A3529" i="1"/>
  <c r="A4664" i="1"/>
  <c r="A3531" i="1"/>
  <c r="A3547" i="1"/>
  <c r="A3209" i="1"/>
  <c r="A6102" i="1"/>
  <c r="A5035" i="1"/>
  <c r="A3548" i="1"/>
  <c r="A5917" i="1"/>
  <c r="A3085" i="1"/>
  <c r="A8190" i="1"/>
  <c r="A4845" i="1"/>
  <c r="A4068" i="1"/>
  <c r="A4069" i="1"/>
  <c r="A42" i="1"/>
  <c r="A7026" i="1"/>
  <c r="A5159" i="1"/>
  <c r="A1311" i="1"/>
  <c r="A3667" i="1"/>
  <c r="A1004" i="1"/>
  <c r="A5157" i="1"/>
  <c r="A375" i="1"/>
  <c r="A7391" i="1"/>
  <c r="A8740" i="1"/>
  <c r="A3918" i="1"/>
  <c r="A7398" i="1"/>
  <c r="A691" i="1"/>
  <c r="A3955" i="1"/>
  <c r="A3642" i="1"/>
  <c r="A45" i="1"/>
  <c r="A4033" i="1"/>
  <c r="A3660" i="1"/>
  <c r="A7245" i="1"/>
  <c r="A1922" i="1"/>
  <c r="A5172" i="1"/>
  <c r="A8251" i="1"/>
  <c r="A568" i="1"/>
  <c r="A492" i="1"/>
  <c r="A1750" i="1"/>
  <c r="A3347" i="1"/>
  <c r="A2868" i="1"/>
  <c r="A6968" i="1"/>
  <c r="A9441" i="1"/>
  <c r="A6257" i="1"/>
  <c r="A1741" i="1"/>
  <c r="A5322" i="1"/>
  <c r="A8315" i="1"/>
  <c r="A1742" i="1"/>
  <c r="A6058" i="1"/>
  <c r="A8321" i="1"/>
  <c r="A496" i="1"/>
  <c r="A3404" i="1"/>
  <c r="A3454" i="1"/>
  <c r="A8615" i="1"/>
  <c r="A6769" i="1"/>
  <c r="A8308" i="1"/>
  <c r="A8610" i="1"/>
  <c r="A5299" i="1"/>
  <c r="A7931" i="1"/>
  <c r="A3581" i="1"/>
  <c r="A3068" i="1"/>
  <c r="A5287" i="1"/>
  <c r="A5286" i="1"/>
  <c r="A3402" i="1"/>
  <c r="A3022" i="1"/>
  <c r="A963" i="1"/>
  <c r="A5298" i="1"/>
  <c r="A247" i="1"/>
  <c r="A2686" i="1"/>
  <c r="A1615" i="1"/>
  <c r="A6084" i="1"/>
  <c r="A3415" i="1"/>
  <c r="A245" i="1"/>
  <c r="A7345" i="1"/>
  <c r="A244" i="1"/>
  <c r="A8463" i="1"/>
  <c r="A4675" i="1"/>
  <c r="A7732" i="1"/>
  <c r="A8470" i="1"/>
  <c r="A7522" i="1"/>
  <c r="A246" i="1"/>
  <c r="A6966" i="1"/>
  <c r="A6967" i="1"/>
  <c r="A3467" i="1"/>
  <c r="A8037" i="1"/>
  <c r="A6104" i="1"/>
  <c r="A3494" i="1"/>
  <c r="A5282" i="1"/>
  <c r="A9439" i="1"/>
  <c r="A8618" i="1"/>
  <c r="A1931" i="1"/>
  <c r="A4618" i="1"/>
  <c r="A7364" i="1"/>
  <c r="A3333" i="1"/>
  <c r="A5043" i="1"/>
  <c r="A9540" i="1"/>
  <c r="A6591" i="1"/>
  <c r="A5796" i="1"/>
  <c r="A6590" i="1"/>
  <c r="A1296" i="1"/>
  <c r="A9579" i="1"/>
  <c r="A8700" i="1"/>
  <c r="A2763" i="1"/>
  <c r="A6674" i="1"/>
  <c r="A3579" i="1"/>
  <c r="A9338" i="1"/>
  <c r="A991" i="1"/>
  <c r="A4955" i="1"/>
  <c r="A8781" i="1"/>
  <c r="A7754" i="1"/>
  <c r="A3274" i="1"/>
  <c r="A25" i="1"/>
  <c r="A9436" i="1"/>
  <c r="A2338" i="1"/>
  <c r="A990" i="1"/>
  <c r="A9437" i="1"/>
  <c r="A1954" i="1"/>
  <c r="A26" i="1"/>
  <c r="A5414" i="1"/>
  <c r="A5377" i="1"/>
  <c r="A3285" i="1"/>
  <c r="A2339" i="1"/>
  <c r="A9438" i="1"/>
  <c r="A765" i="1"/>
  <c r="A3440" i="1"/>
  <c r="A1721" i="1"/>
  <c r="A1441" i="1"/>
  <c r="A6282" i="1"/>
  <c r="A2261" i="1"/>
  <c r="A5019" i="1"/>
  <c r="A7204" i="1"/>
  <c r="A7174" i="1"/>
  <c r="A6051" i="1"/>
  <c r="A3629" i="1"/>
  <c r="A2173" i="1"/>
  <c r="A1917" i="1"/>
  <c r="A2842" i="1"/>
  <c r="A7587" i="1"/>
  <c r="A3694" i="1"/>
  <c r="A8706" i="1"/>
  <c r="A6682" i="1"/>
  <c r="A6683" i="1"/>
  <c r="A5151" i="1"/>
  <c r="A4709" i="1"/>
  <c r="A499" i="1"/>
  <c r="A3253" i="1"/>
  <c r="A3154" i="1"/>
  <c r="A8707" i="1"/>
  <c r="A502" i="1"/>
  <c r="A5270" i="1"/>
  <c r="A5170" i="1"/>
  <c r="A8209" i="1"/>
  <c r="A5914" i="1"/>
  <c r="A4951" i="1"/>
  <c r="A3003" i="1"/>
  <c r="A4424" i="1"/>
  <c r="A8942" i="1"/>
  <c r="A8516" i="1"/>
  <c r="A4786" i="1"/>
  <c r="A992" i="1"/>
  <c r="A5570" i="1"/>
  <c r="A7235" i="1"/>
  <c r="A4414" i="1"/>
  <c r="A4792" i="1"/>
  <c r="A8517" i="1"/>
  <c r="A13" i="1"/>
  <c r="A8230" i="1"/>
  <c r="A2584" i="1"/>
  <c r="A1679" i="1"/>
  <c r="A1681" i="1"/>
  <c r="A8226" i="1"/>
  <c r="A1840" i="1"/>
  <c r="A8227" i="1"/>
  <c r="A8224" i="1"/>
  <c r="A8225" i="1"/>
  <c r="A8223" i="1"/>
  <c r="A7130" i="1"/>
  <c r="A712" i="1"/>
  <c r="A2080" i="1"/>
  <c r="A9059" i="1"/>
  <c r="A5618" i="1"/>
  <c r="A8711" i="1"/>
  <c r="A3102" i="1"/>
  <c r="A5803" i="1"/>
  <c r="A1023" i="1"/>
  <c r="A8739" i="1"/>
  <c r="A4195" i="1"/>
  <c r="A1645" i="1"/>
  <c r="A7387" i="1"/>
  <c r="A3526" i="1"/>
  <c r="A9254" i="1"/>
  <c r="A2283" i="1"/>
  <c r="A6649" i="1"/>
  <c r="A1455" i="1"/>
  <c r="A814" i="1"/>
  <c r="A1576" i="1"/>
  <c r="A1515" i="1"/>
  <c r="A5589" i="1"/>
  <c r="A1641" i="1"/>
  <c r="A3183" i="1"/>
  <c r="A1646" i="1"/>
  <c r="A593" i="1"/>
  <c r="A1281" i="1"/>
  <c r="A3756" i="1"/>
  <c r="A2319" i="1"/>
  <c r="A5607" i="1"/>
  <c r="A5207" i="1"/>
  <c r="A4152" i="1"/>
  <c r="A4180" i="1"/>
  <c r="A8340" i="1"/>
  <c r="A1536" i="1"/>
  <c r="A1644" i="1"/>
  <c r="A3208" i="1"/>
  <c r="A783" i="1"/>
  <c r="A7507" i="1"/>
  <c r="A3245" i="1"/>
  <c r="A1506" i="1"/>
  <c r="A586" i="1"/>
  <c r="A4954" i="1"/>
  <c r="A9187" i="1"/>
  <c r="A7890" i="1"/>
  <c r="A1287" i="1"/>
  <c r="A3236" i="1"/>
  <c r="A2255" i="1"/>
  <c r="A3530" i="1"/>
  <c r="A7040" i="1"/>
  <c r="A4977" i="1"/>
  <c r="A595" i="1"/>
  <c r="A1507" i="1"/>
  <c r="A7066" i="1"/>
  <c r="A2241" i="1"/>
  <c r="A3157" i="1"/>
  <c r="A2158" i="1"/>
  <c r="A667" i="1"/>
  <c r="A2246" i="1"/>
  <c r="A9186" i="1"/>
  <c r="A682" i="1"/>
  <c r="A7315" i="1"/>
  <c r="A9417" i="1"/>
  <c r="A588" i="1"/>
  <c r="A6645" i="1"/>
  <c r="A1640" i="1"/>
  <c r="A4188" i="1"/>
  <c r="A3512" i="1"/>
  <c r="A9414" i="1"/>
  <c r="A6536" i="1"/>
  <c r="A7967" i="1"/>
  <c r="A4606" i="1"/>
  <c r="A812" i="1"/>
  <c r="A2284" i="1"/>
  <c r="A8742" i="1"/>
  <c r="A6537" i="1"/>
  <c r="A1557" i="1"/>
  <c r="A1523" i="1"/>
  <c r="A5699" i="1"/>
  <c r="A1276" i="1"/>
  <c r="A408" i="1"/>
  <c r="A4624" i="1"/>
  <c r="A7969" i="1"/>
  <c r="A1612" i="1"/>
  <c r="A2216" i="1"/>
  <c r="A1450" i="1"/>
  <c r="A6057" i="1"/>
  <c r="A4688" i="1"/>
  <c r="A1611" i="1"/>
  <c r="A7775" i="1"/>
  <c r="A3048" i="1"/>
  <c r="A8090" i="1"/>
  <c r="A8287" i="1"/>
  <c r="A5848" i="1"/>
  <c r="A6244" i="1"/>
  <c r="A587" i="1"/>
  <c r="A8667" i="1"/>
  <c r="A654" i="1"/>
  <c r="A523" i="1"/>
  <c r="A8092" i="1"/>
  <c r="A2812" i="1"/>
  <c r="A8768" i="1"/>
  <c r="A5093" i="1"/>
  <c r="A2826" i="1"/>
  <c r="A6252" i="1"/>
  <c r="A2820" i="1"/>
  <c r="A5852" i="1"/>
  <c r="A5845" i="1"/>
  <c r="A277" i="1"/>
  <c r="A9574" i="1"/>
  <c r="A3403" i="1"/>
  <c r="A1459" i="1"/>
  <c r="A9571" i="1"/>
  <c r="A3192" i="1"/>
  <c r="A7365" i="1"/>
  <c r="A1271" i="1"/>
  <c r="A2044" i="1"/>
  <c r="A1252" i="1"/>
  <c r="A3327" i="1"/>
  <c r="A390" i="1"/>
  <c r="A1279" i="1"/>
  <c r="A5850" i="1"/>
  <c r="A6249" i="1"/>
  <c r="A4623" i="1"/>
  <c r="A517" i="1"/>
  <c r="A6250" i="1"/>
  <c r="A6251" i="1"/>
  <c r="A270" i="1"/>
  <c r="A3317" i="1"/>
  <c r="A5091" i="1"/>
  <c r="A5849" i="1"/>
  <c r="A8669" i="1"/>
  <c r="A8666" i="1"/>
  <c r="A4593" i="1"/>
  <c r="A6903" i="1"/>
  <c r="A6830" i="1"/>
  <c r="A8985" i="1"/>
  <c r="A3302" i="1"/>
  <c r="A8057" i="1"/>
  <c r="A1426" i="1"/>
  <c r="A5972" i="1"/>
  <c r="A8022" i="1"/>
  <c r="A8012" i="1"/>
  <c r="A267" i="1"/>
  <c r="A1457" i="1"/>
  <c r="A1456" i="1"/>
  <c r="A8789" i="1"/>
  <c r="A7389" i="1"/>
  <c r="A1278" i="1"/>
  <c r="A893" i="1"/>
  <c r="A5969" i="1"/>
  <c r="A1231" i="1"/>
  <c r="A965" i="1"/>
  <c r="A8222" i="1"/>
  <c r="A871" i="1"/>
  <c r="A4993" i="1"/>
  <c r="A9523" i="1"/>
  <c r="A1285" i="1"/>
  <c r="A382" i="1"/>
  <c r="A8002" i="1"/>
  <c r="A7349" i="1"/>
  <c r="A1284" i="1"/>
  <c r="A8050" i="1"/>
  <c r="A8000" i="1"/>
  <c r="A872" i="1"/>
  <c r="A874" i="1"/>
  <c r="A5903" i="1"/>
  <c r="A1511" i="1"/>
  <c r="A5463" i="1"/>
  <c r="A1793" i="1"/>
  <c r="A875" i="1"/>
  <c r="A8124" i="1"/>
  <c r="A1272" i="1"/>
  <c r="A621" i="1"/>
  <c r="A8031" i="1"/>
  <c r="A238" i="1"/>
  <c r="A3411" i="1"/>
  <c r="A8790" i="1"/>
  <c r="A1273" i="1"/>
  <c r="A873" i="1"/>
  <c r="A8833" i="1"/>
  <c r="A8040" i="1"/>
  <c r="A7020" i="1"/>
  <c r="A6246" i="1"/>
  <c r="A6245" i="1"/>
  <c r="A1792" i="1"/>
  <c r="A594" i="1"/>
  <c r="A529" i="1"/>
  <c r="A622" i="1"/>
  <c r="A882" i="1"/>
  <c r="A2078" i="1"/>
  <c r="A8042" i="1"/>
  <c r="A1222" i="1"/>
  <c r="A5462" i="1"/>
  <c r="A5467" i="1"/>
  <c r="A6589" i="1"/>
  <c r="A3871" i="1"/>
  <c r="A6603" i="1"/>
  <c r="A6975" i="1"/>
  <c r="A5469" i="1"/>
  <c r="A6602" i="1"/>
  <c r="A6166" i="1"/>
  <c r="A4875" i="1"/>
  <c r="A1734" i="1"/>
  <c r="A7374" i="1"/>
  <c r="A4747" i="1"/>
  <c r="A6460" i="1"/>
  <c r="A1227" i="1"/>
  <c r="A7914" i="1"/>
  <c r="A2510" i="1"/>
  <c r="A9581" i="1"/>
  <c r="A281" i="1"/>
  <c r="A8056" i="1"/>
  <c r="A781" i="1"/>
  <c r="A3622" i="1"/>
  <c r="A6707" i="1"/>
  <c r="A7671" i="1"/>
  <c r="A7597" i="1"/>
  <c r="A1018" i="1"/>
  <c r="A7681" i="1"/>
  <c r="A967" i="1"/>
  <c r="A6704" i="1"/>
  <c r="A9541" i="1"/>
  <c r="A5435" i="1"/>
  <c r="A8638" i="1"/>
  <c r="A8791" i="1"/>
  <c r="A283" i="1"/>
  <c r="A8053" i="1"/>
  <c r="A4590" i="1"/>
  <c r="A1283" i="1"/>
  <c r="A7696" i="1"/>
  <c r="A5252" i="1"/>
  <c r="A3231" i="1"/>
  <c r="A7629" i="1"/>
  <c r="A969" i="1"/>
  <c r="A3233" i="1"/>
  <c r="A284" i="1"/>
  <c r="A970" i="1"/>
  <c r="A8289" i="1"/>
  <c r="A8288" i="1"/>
  <c r="A8984" i="1"/>
  <c r="A6461" i="1"/>
  <c r="A7708" i="1"/>
  <c r="A9566" i="1"/>
  <c r="A7709" i="1"/>
  <c r="A8989" i="1"/>
  <c r="A4745" i="1"/>
  <c r="A6465" i="1"/>
  <c r="A8131" i="1"/>
  <c r="A9468" i="1"/>
  <c r="A3306" i="1"/>
  <c r="A6595" i="1"/>
  <c r="A8142" i="1"/>
  <c r="A5958" i="1"/>
  <c r="A3319" i="1"/>
  <c r="A4589" i="1"/>
  <c r="A3158" i="1"/>
  <c r="A3165" i="1"/>
  <c r="A4588" i="1"/>
  <c r="A3232" i="1"/>
  <c r="A8051" i="1"/>
  <c r="A3164" i="1"/>
  <c r="A968" i="1"/>
  <c r="A3466" i="1"/>
  <c r="A8192" i="1"/>
  <c r="A7392" i="1"/>
  <c r="A3201" i="1"/>
  <c r="A878" i="1"/>
  <c r="A7904" i="1"/>
  <c r="A4363" i="1"/>
  <c r="A4357" i="1"/>
  <c r="A883" i="1"/>
  <c r="A5940" i="1"/>
  <c r="A1714" i="1"/>
  <c r="A8987" i="1"/>
  <c r="A3475" i="1"/>
  <c r="A7829" i="1"/>
  <c r="A886" i="1"/>
  <c r="A9260" i="1"/>
  <c r="A6618" i="1"/>
  <c r="A4978" i="1"/>
  <c r="A7898" i="1"/>
  <c r="A879" i="1"/>
  <c r="A6617" i="1"/>
  <c r="A2137" i="1"/>
  <c r="A1275" i="1"/>
  <c r="A7444" i="1"/>
  <c r="A881" i="1"/>
  <c r="A7900" i="1"/>
  <c r="A6667" i="1"/>
  <c r="A876" i="1"/>
  <c r="A3166" i="1"/>
  <c r="A8284" i="1"/>
  <c r="A5792" i="1"/>
  <c r="A8283" i="1"/>
  <c r="A1286" i="1"/>
  <c r="A7747" i="1"/>
  <c r="A8988" i="1"/>
  <c r="A7633" i="1"/>
  <c r="A877" i="1"/>
  <c r="A1277" i="1"/>
  <c r="A5791" i="1"/>
  <c r="A4252" i="1"/>
  <c r="A5794" i="1"/>
  <c r="A7896" i="1"/>
  <c r="A239" i="1"/>
  <c r="A7385" i="1"/>
  <c r="A6701" i="1"/>
  <c r="A8269" i="1"/>
  <c r="A396" i="1"/>
  <c r="A8954" i="1"/>
  <c r="A8958" i="1"/>
  <c r="A9203" i="1"/>
  <c r="A15" i="1"/>
  <c r="A8957" i="1"/>
  <c r="A9202" i="1"/>
  <c r="A7153" i="1"/>
  <c r="A600" i="1"/>
  <c r="A7940" i="1"/>
  <c r="A8443" i="1"/>
  <c r="A4615" i="1"/>
  <c r="A4423" i="1"/>
  <c r="A4411" i="1"/>
  <c r="A6858" i="1"/>
  <c r="A141" i="1"/>
  <c r="A14" i="1"/>
  <c r="A4464" i="1"/>
  <c r="A5255" i="1"/>
  <c r="A298" i="1"/>
  <c r="A299" i="1"/>
  <c r="A300" i="1"/>
  <c r="A2485" i="1"/>
  <c r="A8928" i="1"/>
  <c r="A1665" i="1"/>
  <c r="A5140" i="1"/>
  <c r="A125" i="1"/>
  <c r="A7902" i="1"/>
  <c r="A5185" i="1"/>
  <c r="A1664" i="1"/>
  <c r="A7171" i="1"/>
  <c r="A5235" i="1"/>
  <c r="A4952" i="1"/>
  <c r="A2293" i="1"/>
  <c r="A6349" i="1"/>
  <c r="A2289" i="1"/>
  <c r="A5240" i="1"/>
  <c r="A2757" i="1"/>
  <c r="A6155" i="1"/>
  <c r="A290" i="1"/>
  <c r="A304" i="1"/>
  <c r="A9358" i="1"/>
  <c r="A4529" i="1"/>
  <c r="A5236" i="1"/>
  <c r="A717" i="1"/>
  <c r="A295" i="1"/>
  <c r="A4957" i="1"/>
  <c r="A1041" i="1"/>
  <c r="A7669" i="1"/>
  <c r="A1662" i="1"/>
  <c r="A8869" i="1"/>
  <c r="A6375" i="1"/>
  <c r="A289" i="1"/>
  <c r="A8177" i="1"/>
  <c r="A5144" i="1"/>
  <c r="A1663" i="1"/>
  <c r="A4941" i="1"/>
  <c r="A8178" i="1"/>
  <c r="A5466" i="1"/>
  <c r="A6472" i="1"/>
  <c r="A2294" i="1"/>
  <c r="A5468" i="1"/>
  <c r="A4320" i="1"/>
  <c r="A296" i="1"/>
  <c r="A2018" i="1"/>
  <c r="A5337" i="1"/>
  <c r="A6388" i="1"/>
  <c r="A5630" i="1"/>
  <c r="A5234" i="1"/>
  <c r="A1969" i="1"/>
  <c r="A7024" i="1"/>
  <c r="A9490" i="1"/>
  <c r="A1965" i="1"/>
  <c r="A6343" i="1"/>
  <c r="A293" i="1"/>
  <c r="A301" i="1"/>
  <c r="A7344" i="1"/>
  <c r="A291" i="1"/>
  <c r="A2295" i="1"/>
  <c r="A5635" i="1"/>
  <c r="A4370" i="1"/>
  <c r="A5623" i="1"/>
  <c r="A7376" i="1"/>
  <c r="A6376" i="1"/>
  <c r="A8926" i="1"/>
  <c r="A9522" i="1"/>
  <c r="A8179" i="1"/>
  <c r="A5383" i="1"/>
  <c r="A5492" i="1"/>
  <c r="A7911" i="1"/>
  <c r="A1666" i="1"/>
  <c r="A8927" i="1"/>
  <c r="A305" i="1"/>
  <c r="A9492" i="1"/>
  <c r="A2287" i="1"/>
  <c r="A288" i="1"/>
  <c r="A6154" i="1"/>
  <c r="A287" i="1"/>
  <c r="A7375" i="1"/>
  <c r="A5241" i="1"/>
  <c r="A7665" i="1"/>
  <c r="A9489" i="1"/>
  <c r="A318" i="1"/>
  <c r="A7565" i="1"/>
  <c r="A4006" i="1"/>
  <c r="A4950" i="1"/>
  <c r="A8929" i="1"/>
  <c r="A4958" i="1"/>
  <c r="A7368" i="1"/>
  <c r="A5634" i="1"/>
  <c r="A2597" i="1"/>
  <c r="A8441" i="1"/>
  <c r="A4531" i="1"/>
  <c r="A8646" i="1"/>
  <c r="A5511" i="1"/>
  <c r="A2707" i="1"/>
  <c r="A7713" i="1"/>
  <c r="A6516" i="1"/>
  <c r="A3015" i="1"/>
  <c r="A100" i="1"/>
  <c r="A4311" i="1"/>
  <c r="A3687" i="1"/>
  <c r="A8743" i="1"/>
  <c r="A2710" i="1"/>
  <c r="A3014" i="1"/>
  <c r="A3017" i="1"/>
  <c r="A3016" i="1"/>
  <c r="A7711" i="1"/>
  <c r="A4850" i="1"/>
  <c r="A6950" i="1"/>
  <c r="A127" i="1"/>
  <c r="A4413" i="1"/>
  <c r="A5308" i="1"/>
  <c r="A1948" i="1"/>
  <c r="A7714" i="1"/>
  <c r="A3803" i="1"/>
  <c r="A2708" i="1"/>
  <c r="A6511" i="1"/>
  <c r="A2711" i="1"/>
  <c r="A2214" i="1"/>
  <c r="A257" i="1"/>
  <c r="A83" i="1"/>
  <c r="A91" i="1"/>
  <c r="A7734" i="1"/>
  <c r="A7998" i="1"/>
  <c r="A7298" i="1"/>
  <c r="A687" i="1"/>
  <c r="A8993" i="1"/>
  <c r="A2288" i="1"/>
  <c r="A1829" i="1"/>
  <c r="A5440" i="1"/>
  <c r="A6944" i="1"/>
  <c r="A2712" i="1"/>
  <c r="A8961" i="1"/>
  <c r="A2166" i="1"/>
  <c r="A6534" i="1"/>
  <c r="A6369" i="1"/>
  <c r="A307" i="1"/>
  <c r="A8524" i="1"/>
  <c r="A4685" i="1"/>
  <c r="A4686" i="1"/>
  <c r="A6924" i="1"/>
  <c r="A313" i="1"/>
  <c r="A8990" i="1"/>
  <c r="A2838" i="1"/>
  <c r="A6942" i="1"/>
  <c r="A1509" i="1"/>
  <c r="A4043" i="1"/>
  <c r="A8386" i="1"/>
  <c r="A6105" i="1"/>
  <c r="A5313" i="1"/>
  <c r="A3408" i="1"/>
  <c r="A2979" i="1"/>
  <c r="A5552" i="1"/>
  <c r="A6827" i="1"/>
  <c r="A4316" i="1"/>
  <c r="A6820" i="1"/>
  <c r="A6823" i="1"/>
  <c r="A5555" i="1"/>
  <c r="A7135" i="1"/>
  <c r="A4323" i="1"/>
  <c r="A4613" i="1"/>
  <c r="A7140" i="1"/>
  <c r="A6498" i="1"/>
  <c r="A7758" i="1"/>
  <c r="A827" i="1"/>
  <c r="A5558" i="1"/>
  <c r="A2670" i="1"/>
  <c r="A7751" i="1"/>
  <c r="A7750" i="1"/>
  <c r="A2767" i="1"/>
  <c r="A9314" i="1"/>
  <c r="A4376" i="1"/>
  <c r="A9309" i="1"/>
  <c r="A5541" i="1"/>
  <c r="A6015" i="1"/>
  <c r="A3123" i="1"/>
  <c r="A314" i="1"/>
  <c r="A2669" i="1"/>
  <c r="A7047" i="1"/>
  <c r="A7185" i="1"/>
  <c r="A6018" i="1"/>
  <c r="A180" i="1"/>
  <c r="A7270" i="1"/>
  <c r="A5183" i="1"/>
  <c r="A7790" i="1"/>
  <c r="A7092" i="1"/>
  <c r="A9315" i="1"/>
  <c r="A6631" i="1"/>
  <c r="A7145" i="1"/>
  <c r="A7807" i="1"/>
  <c r="A6677" i="1"/>
  <c r="A4015" i="1"/>
  <c r="A2839" i="1"/>
  <c r="A8748" i="1"/>
  <c r="A7077" i="1"/>
  <c r="A7226" i="1"/>
  <c r="A7191" i="1"/>
  <c r="A7190" i="1"/>
  <c r="A4614" i="1"/>
  <c r="A6828" i="1"/>
  <c r="A8770" i="1"/>
  <c r="A7321" i="1"/>
  <c r="A8552" i="1"/>
  <c r="A7262" i="1"/>
  <c r="A7789" i="1"/>
  <c r="A7284" i="1"/>
  <c r="A415" i="1"/>
  <c r="A309" i="1"/>
  <c r="A324" i="1"/>
  <c r="A1916" i="1"/>
  <c r="A308" i="1"/>
  <c r="A8389" i="1"/>
  <c r="A8390" i="1"/>
  <c r="A8383" i="1"/>
  <c r="A7548" i="1"/>
  <c r="A5600" i="1"/>
  <c r="A2177" i="1"/>
  <c r="A7812" i="1"/>
  <c r="A6819" i="1"/>
  <c r="A4335" i="1"/>
  <c r="A6826" i="1"/>
  <c r="A9424" i="1"/>
  <c r="A4425" i="1"/>
  <c r="A7924" i="1"/>
  <c r="A7148" i="1"/>
  <c r="A4415" i="1"/>
  <c r="A7149" i="1"/>
  <c r="A8951" i="1"/>
  <c r="A6494" i="1"/>
  <c r="A6488" i="1"/>
  <c r="A6471" i="1"/>
  <c r="A8392" i="1"/>
  <c r="A825" i="1"/>
  <c r="A6085" i="1"/>
  <c r="A7718" i="1"/>
  <c r="A6482" i="1"/>
  <c r="A4336" i="1"/>
  <c r="A4338" i="1"/>
  <c r="A6497" i="1"/>
  <c r="A6825" i="1"/>
  <c r="A826" i="1"/>
  <c r="A5885" i="1"/>
  <c r="A4340" i="1"/>
  <c r="A4341" i="1"/>
  <c r="A4367" i="1"/>
  <c r="A6086" i="1"/>
  <c r="A823" i="1"/>
  <c r="A4410" i="1"/>
  <c r="A7912" i="1"/>
  <c r="A5559" i="1"/>
  <c r="A8948" i="1"/>
  <c r="A8444" i="1"/>
  <c r="A6955" i="1"/>
  <c r="A5560" i="1"/>
  <c r="A7289" i="1"/>
  <c r="A6469" i="1"/>
  <c r="A5535" i="1"/>
  <c r="A1884" i="1"/>
  <c r="A1885" i="1"/>
  <c r="A8442" i="1"/>
  <c r="A8566" i="1"/>
  <c r="A4046" i="1"/>
  <c r="A142" i="1"/>
  <c r="A4334" i="1"/>
  <c r="A995" i="1"/>
  <c r="A5281" i="1"/>
  <c r="A4348" i="1"/>
  <c r="A143" i="1"/>
  <c r="A7772" i="1"/>
  <c r="A7764" i="1"/>
  <c r="A7815" i="1"/>
  <c r="A916" i="1"/>
  <c r="A7787" i="1"/>
  <c r="A7051" i="1"/>
  <c r="A7260" i="1"/>
  <c r="A7259" i="1"/>
  <c r="A7785" i="1"/>
  <c r="A4420" i="1"/>
  <c r="A4417" i="1"/>
  <c r="A5197" i="1"/>
  <c r="A996" i="1"/>
  <c r="A7712" i="1"/>
  <c r="A6626" i="1"/>
  <c r="A7434" i="1"/>
  <c r="A3920" i="1"/>
  <c r="A1959" i="1"/>
  <c r="A533" i="1"/>
  <c r="A4332" i="1"/>
  <c r="A1756" i="1"/>
  <c r="A1747" i="1"/>
  <c r="A1966" i="1"/>
  <c r="A8567" i="1"/>
  <c r="A4104" i="1"/>
  <c r="A4115" i="1"/>
  <c r="A534" i="1"/>
  <c r="A787" i="1"/>
  <c r="A6680" i="1"/>
  <c r="A777" i="1"/>
  <c r="A7146" i="1"/>
  <c r="A3935" i="1"/>
  <c r="A4330" i="1"/>
  <c r="A8968" i="1"/>
  <c r="A1970" i="1"/>
  <c r="A7906" i="1"/>
  <c r="A788" i="1"/>
  <c r="A3949" i="1"/>
  <c r="A786" i="1"/>
  <c r="A1730" i="1"/>
  <c r="A4375" i="1"/>
  <c r="A4345" i="1"/>
  <c r="A4074" i="1"/>
  <c r="A4318" i="1"/>
  <c r="A4317" i="1"/>
  <c r="A778" i="1"/>
  <c r="A4573" i="1"/>
  <c r="A4329" i="1"/>
  <c r="A5543" i="1"/>
  <c r="A2182" i="1"/>
  <c r="A538" i="1"/>
  <c r="A7895" i="1"/>
  <c r="A5540" i="1"/>
  <c r="A9470" i="1"/>
  <c r="A7771" i="1"/>
  <c r="A540" i="1"/>
  <c r="A537" i="1"/>
  <c r="A7776" i="1"/>
  <c r="A9" i="1"/>
  <c r="A8" i="1"/>
  <c r="A5553" i="1"/>
  <c r="A10" i="1"/>
  <c r="A4327" i="1"/>
  <c r="A7282" i="1"/>
  <c r="A5" i="1"/>
  <c r="A7757" i="1"/>
  <c r="A7777" i="1"/>
  <c r="A7778" i="1"/>
  <c r="A8382" i="1"/>
  <c r="A5549" i="1"/>
  <c r="A7278" i="1"/>
  <c r="A5550" i="1"/>
  <c r="A7186" i="1"/>
  <c r="A7221" i="1"/>
  <c r="A7187" i="1"/>
  <c r="A7759" i="1"/>
  <c r="A1967" i="1"/>
  <c r="A5557" i="1"/>
  <c r="A5556" i="1"/>
  <c r="A7813" i="1"/>
  <c r="A7814" i="1"/>
  <c r="A4333" i="1"/>
  <c r="A5548" i="1"/>
  <c r="A6824" i="1"/>
  <c r="A6954" i="1"/>
  <c r="A5610" i="1"/>
  <c r="A836" i="1"/>
  <c r="A5538" i="1"/>
  <c r="A5539" i="1"/>
  <c r="A616" i="1"/>
  <c r="A12" i="1"/>
  <c r="A7923" i="1"/>
  <c r="A4349" i="1"/>
  <c r="A4350" i="1"/>
  <c r="A4331" i="1"/>
  <c r="A4355" i="1"/>
  <c r="A8960" i="1"/>
  <c r="A4351" i="1"/>
  <c r="A4352" i="1"/>
  <c r="A4347" i="1"/>
  <c r="A6014" i="1"/>
  <c r="A7944" i="1"/>
  <c r="A7945" i="1"/>
  <c r="A994" i="1"/>
  <c r="A2765" i="1"/>
  <c r="A2674" i="1"/>
  <c r="A7314" i="1"/>
  <c r="A2673" i="1"/>
  <c r="A5547" i="1"/>
  <c r="A6016" i="1"/>
  <c r="A863" i="1"/>
  <c r="A2030" i="1"/>
  <c r="A2675" i="1"/>
  <c r="A993" i="1"/>
  <c r="A2907" i="1"/>
  <c r="A6953" i="1"/>
  <c r="A2902" i="1"/>
  <c r="A8537" i="1"/>
  <c r="A2908" i="1"/>
  <c r="A5537" i="1"/>
  <c r="A4326" i="1"/>
  <c r="A1886" i="1"/>
  <c r="A2665" i="1"/>
  <c r="A4344" i="1"/>
  <c r="A9205" i="1"/>
  <c r="A4377" i="1"/>
  <c r="A8001" i="1"/>
  <c r="A5789" i="1"/>
  <c r="A8644" i="1"/>
  <c r="A17" i="1"/>
  <c r="A11" i="1"/>
  <c r="A508" i="1"/>
  <c r="A18" i="1"/>
  <c r="A8986" i="1"/>
  <c r="A16" i="1"/>
  <c r="A8966" i="1"/>
  <c r="A9208" i="1"/>
  <c r="A9198" i="1"/>
  <c r="A2429" i="1"/>
  <c r="A8538" i="1"/>
  <c r="A1882" i="1"/>
  <c r="A5562" i="1"/>
  <c r="A4016" i="1"/>
  <c r="A8604" i="1"/>
  <c r="A2903" i="1"/>
  <c r="A1881" i="1"/>
  <c r="A7313" i="1"/>
  <c r="A7312" i="1"/>
  <c r="A7928" i="1"/>
  <c r="A7025" i="1"/>
  <c r="A6951" i="1"/>
  <c r="A6952" i="1"/>
  <c r="A542" i="1"/>
  <c r="A8624" i="1"/>
  <c r="A8539" i="1"/>
  <c r="A7765" i="1"/>
  <c r="A4371" i="1"/>
  <c r="A7188" i="1"/>
  <c r="A6956" i="1"/>
  <c r="A6850" i="1"/>
  <c r="A4378" i="1"/>
  <c r="A7576" i="1"/>
  <c r="A4470" i="1"/>
  <c r="A9595" i="1"/>
  <c r="A6112" i="1"/>
  <c r="A3569" i="1"/>
  <c r="A361" i="1"/>
  <c r="A1999" i="1"/>
  <c r="A6108" i="1"/>
  <c r="A9596" i="1"/>
  <c r="A5312" i="1"/>
  <c r="A3252" i="1"/>
  <c r="A9517" i="1"/>
  <c r="A3225" i="1"/>
  <c r="A3189" i="1"/>
  <c r="A5979" i="1"/>
  <c r="A9184" i="1"/>
  <c r="A2000" i="1"/>
  <c r="A3122" i="1"/>
  <c r="A2884" i="1"/>
  <c r="A5980" i="1"/>
  <c r="A2900" i="1"/>
  <c r="A8464" i="1"/>
  <c r="A4820" i="1"/>
  <c r="A7496" i="1"/>
  <c r="A8082" i="1"/>
  <c r="A4842" i="1"/>
  <c r="A5766" i="1"/>
  <c r="A5765" i="1"/>
  <c r="A810" i="1"/>
  <c r="A7497" i="1"/>
  <c r="A6315" i="1"/>
  <c r="A9155" i="1"/>
  <c r="A5863" i="1"/>
  <c r="A3290" i="1"/>
  <c r="A199" i="1"/>
  <c r="A2417" i="1"/>
  <c r="A7624" i="1"/>
  <c r="A7692" i="1"/>
  <c r="A3928" i="1"/>
  <c r="A5122" i="1"/>
  <c r="A7150" i="1"/>
  <c r="A5524" i="1"/>
  <c r="A5004" i="1"/>
  <c r="A1625" i="1"/>
  <c r="A6676" i="1"/>
  <c r="A5504" i="1"/>
  <c r="A316" i="1"/>
  <c r="A1947" i="1"/>
  <c r="A6693" i="1"/>
  <c r="A317" i="1"/>
  <c r="A8030" i="1"/>
  <c r="A7183" i="1"/>
  <c r="A6554" i="1"/>
  <c r="A3809" i="1"/>
  <c r="A1096" i="1"/>
  <c r="A7690" i="1"/>
  <c r="A5134" i="1"/>
  <c r="A5237" i="1"/>
  <c r="A8625" i="1"/>
  <c r="A3277" i="1"/>
  <c r="A6629" i="1"/>
  <c r="A1622" i="1"/>
  <c r="A7222" i="1"/>
  <c r="A9455" i="1"/>
  <c r="A891" i="1"/>
  <c r="A1091" i="1"/>
  <c r="A3978" i="1"/>
  <c r="A4094" i="1"/>
  <c r="A3382" i="1"/>
  <c r="A6514" i="1"/>
  <c r="A1115" i="1"/>
  <c r="A4696" i="1"/>
  <c r="A3381" i="1"/>
  <c r="A5389" i="1"/>
  <c r="A3386" i="1"/>
  <c r="A9236" i="1"/>
  <c r="A3385" i="1"/>
  <c r="A9312" i="1"/>
  <c r="A6519" i="1"/>
  <c r="A7310" i="1"/>
  <c r="A4087" i="1"/>
  <c r="A6145" i="1"/>
  <c r="A4001" i="1"/>
  <c r="A413" i="1"/>
  <c r="A3551" i="1"/>
  <c r="A8763" i="1"/>
  <c r="A8358" i="1"/>
  <c r="A1873" i="1"/>
  <c r="A4059" i="1"/>
  <c r="A5349" i="1"/>
  <c r="A3563" i="1"/>
  <c r="A9140" i="1"/>
  <c r="A6675" i="1"/>
  <c r="A5348" i="1"/>
  <c r="A106" i="1"/>
  <c r="A7132" i="1"/>
  <c r="A7141" i="1"/>
  <c r="A1939" i="1"/>
  <c r="A6703" i="1"/>
  <c r="A5346" i="1"/>
  <c r="A7207" i="1"/>
  <c r="A9087" i="1"/>
  <c r="A7035" i="1"/>
  <c r="A7076" i="1"/>
  <c r="A7227" i="1"/>
  <c r="A7283" i="1"/>
  <c r="A7280" i="1"/>
  <c r="A7138" i="1"/>
  <c r="A9150" i="1"/>
  <c r="A3795" i="1"/>
  <c r="A1446" i="1"/>
  <c r="A6135" i="1"/>
  <c r="A6627" i="1"/>
  <c r="A9148" i="1"/>
  <c r="A385" i="1"/>
  <c r="A6529" i="1"/>
  <c r="A1907" i="1"/>
  <c r="A1911" i="1"/>
  <c r="A9453" i="1"/>
  <c r="A2486" i="1"/>
  <c r="A6528" i="1"/>
  <c r="A8751" i="1"/>
  <c r="A2487" i="1"/>
  <c r="A6518" i="1"/>
  <c r="A4088" i="1"/>
  <c r="A1856" i="1"/>
  <c r="A6673" i="1"/>
  <c r="A2455" i="1"/>
  <c r="A6527" i="1"/>
  <c r="A8419" i="1"/>
  <c r="A6524" i="1"/>
  <c r="A799" i="1"/>
  <c r="A5330" i="1"/>
  <c r="A3384" i="1"/>
  <c r="A9452" i="1"/>
  <c r="A376" i="1"/>
  <c r="A7694" i="1"/>
  <c r="A5345" i="1"/>
  <c r="A4916" i="1"/>
  <c r="A8418" i="1"/>
  <c r="A1196" i="1"/>
  <c r="A5344" i="1"/>
  <c r="A6986" i="1"/>
  <c r="A511" i="1"/>
  <c r="A4994" i="1"/>
  <c r="A5239" i="1"/>
  <c r="A1623" i="1"/>
  <c r="A1624" i="1"/>
  <c r="A7304" i="1"/>
  <c r="A9447" i="1"/>
  <c r="A7083" i="1"/>
  <c r="A1992" i="1"/>
  <c r="A8120" i="1"/>
  <c r="A7084" i="1"/>
  <c r="A1910" i="1"/>
  <c r="A319" i="1"/>
  <c r="A7816" i="1"/>
  <c r="A471" i="1"/>
  <c r="A383" i="1"/>
  <c r="A6525" i="1"/>
  <c r="A8749" i="1"/>
  <c r="A2005" i="1"/>
  <c r="A5327" i="1"/>
  <c r="A5329" i="1"/>
  <c r="A5242" i="1"/>
  <c r="A1989" i="1"/>
  <c r="A7034" i="1"/>
  <c r="A7225" i="1"/>
  <c r="A5340" i="1"/>
  <c r="A7261" i="1"/>
  <c r="A6367" i="1"/>
  <c r="A2494" i="1"/>
  <c r="A4100" i="1"/>
  <c r="A5339" i="1"/>
  <c r="A5334" i="1"/>
  <c r="A3969" i="1"/>
  <c r="A9127" i="1"/>
  <c r="A6723" i="1"/>
  <c r="A802" i="1"/>
  <c r="A2189" i="1"/>
  <c r="A1208" i="1"/>
  <c r="A6996" i="1"/>
  <c r="A7005" i="1"/>
  <c r="A7002" i="1"/>
  <c r="A360" i="1"/>
  <c r="A363" i="1"/>
  <c r="A6985" i="1"/>
  <c r="A7001" i="1"/>
  <c r="A115" i="1"/>
  <c r="A6492" i="1"/>
  <c r="A6857" i="1"/>
  <c r="A4110" i="1"/>
  <c r="A4108" i="1"/>
  <c r="A5397" i="1"/>
  <c r="A6715" i="1"/>
  <c r="A6719" i="1"/>
  <c r="A6717" i="1"/>
  <c r="A4480" i="1"/>
  <c r="A3893" i="1"/>
  <c r="A7179" i="1"/>
  <c r="A8816" i="1"/>
  <c r="A7050" i="1"/>
  <c r="A8855" i="1"/>
  <c r="A3947" i="1"/>
  <c r="A5335" i="1"/>
  <c r="A808" i="1"/>
  <c r="A9289" i="1"/>
  <c r="A5206" i="1"/>
  <c r="A9149" i="1"/>
  <c r="A9125" i="1"/>
  <c r="A5338" i="1"/>
  <c r="A4017" i="1"/>
  <c r="A5342" i="1"/>
  <c r="A9446" i="1"/>
  <c r="A5336" i="1"/>
  <c r="A6653" i="1"/>
  <c r="A8856" i="1"/>
  <c r="A7320" i="1"/>
  <c r="A8854" i="1"/>
  <c r="A9456" i="1"/>
  <c r="A8771" i="1"/>
  <c r="A3426" i="1"/>
  <c r="A213" i="1"/>
  <c r="A214" i="1"/>
  <c r="A221" i="1"/>
  <c r="A1491" i="1"/>
  <c r="A3273" i="1"/>
  <c r="A220" i="1"/>
  <c r="A9292" i="1"/>
  <c r="A9459" i="1"/>
  <c r="A9248" i="1"/>
  <c r="A805" i="1"/>
  <c r="A4020" i="1"/>
  <c r="A4127" i="1"/>
  <c r="A797" i="1"/>
  <c r="A811" i="1"/>
  <c r="A3288" i="1"/>
  <c r="A3425" i="1"/>
  <c r="A3258" i="1"/>
  <c r="A7531" i="1"/>
  <c r="A1906" i="1"/>
  <c r="A5790" i="1"/>
  <c r="A2561" i="1"/>
  <c r="A3424" i="1"/>
  <c r="A7530" i="1"/>
  <c r="A7866" i="1"/>
  <c r="A8099" i="1"/>
  <c r="A7897" i="1"/>
  <c r="A4698" i="1"/>
  <c r="A7528" i="1"/>
  <c r="A8097" i="1"/>
  <c r="A4403" i="1"/>
  <c r="A3522" i="1"/>
  <c r="A9584" i="1"/>
  <c r="A1726" i="1"/>
  <c r="A5862" i="1"/>
  <c r="A5568" i="1"/>
  <c r="A5750" i="1"/>
  <c r="A3894" i="1"/>
  <c r="A3220" i="1"/>
  <c r="A5127" i="1"/>
  <c r="A8076" i="1"/>
  <c r="A4463" i="1"/>
  <c r="A5067" i="1"/>
  <c r="A254" i="1"/>
  <c r="A6021" i="1"/>
  <c r="A6945" i="1"/>
  <c r="A5567" i="1"/>
  <c r="A9069" i="1"/>
  <c r="A4034" i="1"/>
  <c r="A7524" i="1"/>
  <c r="A7527" i="1"/>
  <c r="A9241" i="1"/>
  <c r="A8134" i="1"/>
  <c r="A7572" i="1"/>
  <c r="A5582" i="1"/>
  <c r="A1522" i="1"/>
  <c r="A7795" i="1"/>
  <c r="A7592" i="1"/>
  <c r="A2105" i="1"/>
  <c r="A350" i="1"/>
  <c r="A3204" i="1"/>
  <c r="A7234" i="1"/>
  <c r="A414" i="1"/>
  <c r="A652" i="1"/>
  <c r="A4093" i="1"/>
  <c r="A323" i="1"/>
  <c r="A395" i="1"/>
  <c r="A7305" i="1"/>
  <c r="A6120" i="1"/>
  <c r="A4109" i="1"/>
  <c r="A4035" i="1"/>
  <c r="A653" i="1"/>
  <c r="A9460" i="1"/>
  <c r="A3892" i="1"/>
  <c r="A7308" i="1"/>
  <c r="A3891" i="1"/>
  <c r="A4026" i="1"/>
  <c r="A5328" i="1"/>
  <c r="A7182" i="1"/>
  <c r="A5350" i="1"/>
  <c r="A1996" i="1"/>
  <c r="A1993" i="1"/>
  <c r="A6136" i="1"/>
  <c r="A2002" i="1"/>
  <c r="A7189" i="1"/>
  <c r="A6716" i="1"/>
  <c r="A3685" i="1"/>
  <c r="A1541" i="1"/>
  <c r="A692" i="1"/>
  <c r="A9058" i="1"/>
  <c r="A7767" i="1"/>
  <c r="A362" i="1"/>
  <c r="A6709" i="1"/>
  <c r="A1558" i="1"/>
  <c r="A6652" i="1"/>
  <c r="A7279" i="1"/>
  <c r="A393" i="1"/>
  <c r="A394" i="1"/>
  <c r="A5205" i="1"/>
  <c r="A4833" i="1"/>
  <c r="A6116" i="1"/>
  <c r="A1596" i="1"/>
  <c r="A2330" i="1"/>
  <c r="A3814" i="1"/>
  <c r="A5759" i="1"/>
  <c r="A1941" i="1"/>
  <c r="A1934" i="1"/>
  <c r="A6146" i="1"/>
  <c r="A5386" i="1"/>
  <c r="A8477" i="1"/>
  <c r="A359" i="1"/>
  <c r="A4834" i="1"/>
  <c r="A5647" i="1"/>
  <c r="A5384" i="1"/>
  <c r="A1495" i="1"/>
  <c r="A5802" i="1"/>
  <c r="A6029" i="1"/>
  <c r="A3805" i="1"/>
  <c r="A5648" i="1"/>
  <c r="A3553" i="1"/>
  <c r="A1437" i="1"/>
  <c r="A3262" i="1"/>
  <c r="A3505" i="1"/>
  <c r="A6269" i="1"/>
  <c r="A6344" i="1"/>
  <c r="A5378" i="1"/>
  <c r="A3237" i="1"/>
  <c r="A3023" i="1"/>
  <c r="A9049" i="1"/>
  <c r="A5364" i="1"/>
  <c r="A6262" i="1"/>
  <c r="A3506" i="1"/>
  <c r="A3525" i="1"/>
  <c r="A9284" i="1"/>
  <c r="A9212" i="1"/>
  <c r="A4186" i="1"/>
  <c r="A8888" i="1"/>
  <c r="A9042" i="1"/>
  <c r="A5978" i="1"/>
  <c r="A3817" i="1"/>
  <c r="A6033" i="1"/>
  <c r="A3021" i="1"/>
  <c r="A5195" i="1"/>
  <c r="A4707" i="1"/>
  <c r="A650" i="1"/>
  <c r="A4756" i="1"/>
  <c r="A1288" i="1"/>
  <c r="A6228" i="1"/>
  <c r="A1476" i="1"/>
  <c r="A8886" i="1"/>
  <c r="A8889" i="1"/>
  <c r="A3504" i="1"/>
  <c r="A9227" i="1"/>
  <c r="A1926" i="1"/>
  <c r="A6028" i="1"/>
  <c r="A373" i="1"/>
  <c r="A344" i="1"/>
  <c r="A5977" i="1"/>
  <c r="A7826" i="1"/>
  <c r="A4598" i="1"/>
  <c r="A5878" i="1"/>
  <c r="A2311" i="1"/>
  <c r="A2008" i="1"/>
  <c r="A9092" i="1"/>
  <c r="A1493" i="1"/>
  <c r="A9214" i="1"/>
  <c r="A8772" i="1"/>
  <c r="A3395" i="1"/>
  <c r="A6127" i="1"/>
  <c r="A1490" i="1"/>
  <c r="A8479" i="1"/>
  <c r="A9112" i="1"/>
  <c r="A5986" i="1"/>
  <c r="A2001" i="1"/>
  <c r="A4939" i="1"/>
  <c r="A7009" i="1"/>
  <c r="A3261" i="1"/>
  <c r="A4715" i="1"/>
  <c r="A2897" i="1"/>
  <c r="A9109" i="1"/>
  <c r="A4118" i="1"/>
  <c r="A5644" i="1"/>
  <c r="A9110" i="1"/>
  <c r="A9154" i="1"/>
  <c r="A9603" i="1"/>
  <c r="A5112" i="1"/>
  <c r="A4616" i="1"/>
  <c r="A9093" i="1"/>
  <c r="A9472" i="1"/>
  <c r="A4103" i="1"/>
  <c r="A7533" i="1"/>
  <c r="A1464" i="1"/>
  <c r="A3886" i="1"/>
  <c r="A1463" i="1"/>
  <c r="A6118" i="1"/>
  <c r="A8506" i="1"/>
  <c r="A1472" i="1"/>
  <c r="A9291" i="1"/>
  <c r="A9075" i="1"/>
  <c r="A9614" i="1"/>
  <c r="A8719" i="1"/>
  <c r="A7676" i="1"/>
  <c r="A7664" i="1"/>
  <c r="A1539" i="1"/>
  <c r="A1531" i="1"/>
  <c r="A9293" i="1"/>
  <c r="A7523" i="1"/>
  <c r="A9290" i="1"/>
  <c r="A3388" i="1"/>
  <c r="A3815" i="1"/>
  <c r="A9410" i="1"/>
  <c r="A1979" i="1"/>
  <c r="A4594" i="1"/>
  <c r="A3994" i="1"/>
  <c r="A3299" i="1"/>
  <c r="A1538" i="1"/>
  <c r="A9412" i="1"/>
  <c r="A4713" i="1"/>
  <c r="A9546" i="1"/>
  <c r="A700" i="1"/>
  <c r="A6335" i="1"/>
  <c r="A5697" i="1"/>
  <c r="A4663" i="1"/>
  <c r="A5984" i="1"/>
  <c r="A2950" i="1"/>
  <c r="A3438" i="1"/>
  <c r="A5080" i="1"/>
  <c r="A4599" i="1"/>
  <c r="A1530" i="1"/>
  <c r="A8720" i="1"/>
  <c r="A9473" i="1"/>
  <c r="A5643" i="1"/>
  <c r="A1944" i="1"/>
  <c r="A5757" i="1"/>
  <c r="A8079" i="1"/>
  <c r="A4083" i="1"/>
  <c r="A6990" i="1"/>
  <c r="A6260" i="1"/>
  <c r="A2802" i="1"/>
  <c r="A2796" i="1"/>
  <c r="A8239" i="1"/>
  <c r="A5764" i="1"/>
  <c r="A4684" i="1"/>
  <c r="A4102" i="1"/>
  <c r="A5650" i="1"/>
  <c r="A9598" i="1"/>
  <c r="A3976" i="1"/>
  <c r="A3625" i="1"/>
  <c r="A6549" i="1"/>
  <c r="A1940" i="1"/>
  <c r="A7608" i="1"/>
  <c r="A5823" i="1"/>
  <c r="A9117" i="1"/>
  <c r="A7838" i="1"/>
  <c r="A4689" i="1"/>
  <c r="A1874" i="1"/>
  <c r="A2974" i="1"/>
  <c r="A3295" i="1"/>
  <c r="A1482" i="1"/>
  <c r="A4708" i="1"/>
  <c r="A6020" i="1"/>
  <c r="A8020" i="1"/>
  <c r="A8021" i="1"/>
  <c r="A5763" i="1"/>
  <c r="A2783" i="1"/>
  <c r="A1980" i="1"/>
  <c r="A5762" i="1"/>
  <c r="A328" i="1"/>
  <c r="A7857" i="1"/>
  <c r="A635" i="1"/>
  <c r="A8715" i="1"/>
  <c r="A9239" i="1"/>
  <c r="A9229" i="1"/>
  <c r="A8365" i="1"/>
  <c r="A5649" i="1"/>
  <c r="A9471" i="1"/>
  <c r="A2747" i="1"/>
  <c r="A57" i="1"/>
  <c r="A2799" i="1"/>
  <c r="A5827" i="1"/>
  <c r="A6151" i="1"/>
  <c r="A7741" i="1"/>
  <c r="A2798" i="1"/>
  <c r="A8077" i="1"/>
  <c r="A354" i="1"/>
  <c r="A3962" i="1"/>
  <c r="A4790" i="1"/>
  <c r="A20" i="1"/>
  <c r="A7120" i="1"/>
  <c r="A7582" i="1"/>
  <c r="A326" i="1"/>
  <c r="A4837" i="1"/>
  <c r="A2186" i="1"/>
  <c r="A327" i="1"/>
  <c r="A798" i="1"/>
  <c r="A5177" i="1"/>
  <c r="A8078" i="1"/>
  <c r="A5176" i="1"/>
  <c r="A8083" i="1"/>
  <c r="A4847" i="1"/>
  <c r="A1224" i="1"/>
  <c r="A709" i="1"/>
  <c r="A2607" i="1"/>
  <c r="A801" i="1"/>
  <c r="A3279" i="1"/>
  <c r="A4705" i="1"/>
  <c r="A2004" i="1"/>
  <c r="A1197" i="1"/>
  <c r="A4710" i="1"/>
  <c r="A1298" i="1"/>
  <c r="A647" i="1"/>
  <c r="A6150" i="1"/>
  <c r="A1043" i="1"/>
  <c r="A6147" i="1"/>
  <c r="A9115" i="1"/>
  <c r="A9079" i="1"/>
  <c r="A9116" i="1"/>
  <c r="A5756" i="1"/>
  <c r="A575" i="1"/>
  <c r="A7285" i="1"/>
  <c r="A5449" i="1"/>
  <c r="A8721" i="1"/>
  <c r="A6505" i="1"/>
  <c r="A6026" i="1"/>
  <c r="A4117" i="1"/>
  <c r="A4105" i="1"/>
  <c r="A320" i="1"/>
  <c r="A9223" i="1"/>
  <c r="A8478" i="1"/>
  <c r="A3807" i="1"/>
  <c r="A4479" i="1"/>
  <c r="A1529" i="1"/>
  <c r="A5138" i="1"/>
  <c r="A1199" i="1"/>
  <c r="A651" i="1"/>
  <c r="A9078" i="1"/>
  <c r="A4934" i="1"/>
  <c r="A4041" i="1"/>
  <c r="A4084" i="1"/>
  <c r="A3885" i="1"/>
  <c r="A2846" i="1"/>
  <c r="A3936" i="1"/>
  <c r="A9228" i="1"/>
  <c r="A3392" i="1"/>
  <c r="A9230" i="1"/>
  <c r="A3393" i="1"/>
  <c r="A5432" i="1"/>
  <c r="A5832" i="1"/>
  <c r="A3819" i="1"/>
  <c r="A5824" i="1"/>
  <c r="A4048" i="1"/>
  <c r="A6613" i="1"/>
  <c r="A2886" i="1"/>
  <c r="A4761" i="1"/>
  <c r="A5646" i="1"/>
  <c r="A3996" i="1"/>
  <c r="A8581" i="1"/>
  <c r="A8582" i="1"/>
  <c r="A5825" i="1"/>
  <c r="A3983" i="1"/>
  <c r="A1192" i="1"/>
  <c r="A3813" i="1"/>
  <c r="A6022" i="1"/>
  <c r="A5761" i="1"/>
  <c r="A5752" i="1"/>
  <c r="A3895" i="1"/>
  <c r="A4829" i="1"/>
  <c r="A1042" i="1"/>
  <c r="A8774" i="1"/>
  <c r="A8775" i="1"/>
  <c r="A2310" i="1"/>
  <c r="A4476" i="1"/>
  <c r="A9072" i="1"/>
  <c r="A3260" i="1"/>
  <c r="A6208" i="1"/>
  <c r="A8723" i="1"/>
  <c r="A5141" i="1"/>
  <c r="A6027" i="1"/>
  <c r="A9047" i="1"/>
  <c r="A1943" i="1"/>
  <c r="A6216" i="1"/>
  <c r="A3291" i="1"/>
  <c r="A6357" i="1"/>
  <c r="A9599" i="1"/>
  <c r="A6013" i="1"/>
  <c r="A6221" i="1"/>
  <c r="A8406" i="1"/>
  <c r="A1451" i="1"/>
  <c r="A3437" i="1"/>
  <c r="A9111" i="1"/>
  <c r="A4841" i="1"/>
  <c r="A8491" i="1"/>
  <c r="A6641" i="1"/>
  <c r="A3810" i="1"/>
  <c r="A6001" i="1"/>
  <c r="A8722" i="1"/>
  <c r="A7604" i="1"/>
  <c r="A4050" i="1"/>
  <c r="A9103" i="1"/>
  <c r="A5797" i="1"/>
  <c r="A6323" i="1"/>
  <c r="A9604" i="1"/>
  <c r="A7598" i="1"/>
  <c r="A3808" i="1"/>
  <c r="A5807" i="1"/>
  <c r="A5806" i="1"/>
  <c r="A4053" i="1"/>
  <c r="A6030" i="1"/>
  <c r="A3816" i="1"/>
  <c r="A1469" i="1"/>
  <c r="A3966" i="1"/>
  <c r="A9175" i="1"/>
  <c r="A1467" i="1"/>
  <c r="A4714" i="1"/>
  <c r="A6138" i="1"/>
  <c r="A6237" i="1"/>
  <c r="A9176" i="1"/>
  <c r="A6241" i="1"/>
  <c r="A3975" i="1"/>
  <c r="A4129" i="1"/>
  <c r="A9145" i="1"/>
  <c r="A9240" i="1"/>
  <c r="A9048" i="1"/>
  <c r="A9135" i="1"/>
  <c r="A9142" i="1"/>
  <c r="A8731" i="1"/>
  <c r="A6126" i="1"/>
  <c r="A4047" i="1"/>
  <c r="A3811" i="1"/>
  <c r="A3818" i="1"/>
  <c r="A9434" i="1"/>
  <c r="A3958" i="1"/>
  <c r="A2009" i="1"/>
  <c r="A4054" i="1"/>
  <c r="A2755" i="1"/>
  <c r="A4716" i="1"/>
  <c r="A3982" i="1"/>
  <c r="A202" i="1"/>
  <c r="A5707" i="1"/>
  <c r="A3959" i="1"/>
  <c r="A4097" i="1"/>
  <c r="A1468" i="1"/>
  <c r="A4124" i="1"/>
  <c r="A9167" i="1"/>
  <c r="A6277" i="1"/>
  <c r="A6360" i="1"/>
  <c r="A5645" i="1"/>
  <c r="A4122" i="1"/>
  <c r="A4003" i="1"/>
  <c r="A1047" i="1"/>
  <c r="A2245" i="1"/>
  <c r="A6545" i="1"/>
  <c r="A6326" i="1"/>
  <c r="A2006" i="1"/>
  <c r="A9179" i="1"/>
  <c r="A1471" i="1"/>
  <c r="A6226" i="1"/>
  <c r="A6225" i="1"/>
  <c r="A7102" i="1"/>
  <c r="A7588" i="1"/>
  <c r="A3812" i="1"/>
  <c r="A7266" i="1"/>
  <c r="A4025" i="1"/>
  <c r="A3939" i="1"/>
  <c r="A1604" i="1"/>
  <c r="A3280" i="1"/>
  <c r="A1555" i="1"/>
  <c r="A6152" i="1"/>
  <c r="A340" i="1"/>
  <c r="A7435" i="1"/>
  <c r="A6276" i="1"/>
  <c r="A6140" i="1"/>
  <c r="A6666" i="1"/>
  <c r="A92" i="1"/>
  <c r="A6133" i="1"/>
  <c r="A269" i="1"/>
  <c r="A4915" i="1"/>
  <c r="A3890" i="1"/>
  <c r="A337" i="1"/>
  <c r="A6048" i="1"/>
  <c r="A1661" i="1"/>
  <c r="A4783" i="1"/>
  <c r="A338" i="1"/>
  <c r="A4539" i="1"/>
  <c r="A1140" i="1"/>
  <c r="A1728" i="1"/>
  <c r="A1040" i="1"/>
  <c r="A6836" i="1"/>
  <c r="A9295" i="1"/>
  <c r="A4550" i="1"/>
  <c r="A111" i="1"/>
  <c r="A6834" i="1"/>
  <c r="A2788" i="1"/>
  <c r="A5182" i="1"/>
  <c r="A2794" i="1"/>
  <c r="A3977" i="1"/>
  <c r="A3957" i="1"/>
  <c r="A347" i="1"/>
  <c r="A4826" i="1"/>
  <c r="A2793" i="1"/>
  <c r="A9602" i="1"/>
  <c r="A3396" i="1"/>
  <c r="A4444" i="1"/>
  <c r="A9169" i="1"/>
  <c r="A6124" i="1"/>
  <c r="A2800" i="1"/>
  <c r="A6679" i="1"/>
  <c r="A9182" i="1"/>
  <c r="A2190" i="1"/>
  <c r="A4125" i="1"/>
  <c r="A3963" i="1"/>
  <c r="A6115" i="1"/>
  <c r="A9591" i="1"/>
  <c r="A1935" i="1"/>
  <c r="A2279" i="1"/>
  <c r="A5642" i="1"/>
  <c r="A9499" i="1"/>
  <c r="A1138" i="1"/>
  <c r="A9610" i="1"/>
  <c r="A6312" i="1"/>
  <c r="A1945" i="1"/>
  <c r="A1135" i="1"/>
  <c r="A6446" i="1"/>
  <c r="A4445" i="1"/>
  <c r="A4446" i="1"/>
  <c r="A2791" i="1"/>
  <c r="A1650" i="1"/>
  <c r="A6125" i="1"/>
  <c r="A5501" i="1"/>
  <c r="A6285" i="1"/>
  <c r="A7877" i="1"/>
  <c r="A5137" i="1"/>
  <c r="A9600" i="1"/>
  <c r="A9613" i="1"/>
  <c r="A6361" i="1"/>
  <c r="A9607" i="1"/>
  <c r="A1045" i="1"/>
  <c r="A1656" i="1"/>
  <c r="A7678" i="1"/>
  <c r="A4567" i="1"/>
  <c r="A6642" i="1"/>
  <c r="A6970" i="1"/>
  <c r="A2790" i="1"/>
  <c r="A6448" i="1"/>
  <c r="A479" i="1"/>
  <c r="A1710" i="1"/>
  <c r="A4863" i="1"/>
  <c r="A6447" i="1"/>
  <c r="A9612" i="1"/>
  <c r="A1946" i="1"/>
  <c r="A3794" i="1"/>
  <c r="A4082" i="1"/>
  <c r="A2789" i="1"/>
  <c r="A6215" i="1"/>
  <c r="A3793" i="1"/>
  <c r="A1878" i="1"/>
  <c r="A7768" i="1"/>
  <c r="A9589" i="1"/>
  <c r="A1660" i="1"/>
  <c r="A2805" i="1"/>
  <c r="A6832" i="1"/>
  <c r="A5456" i="1"/>
  <c r="A5811" i="1"/>
  <c r="A3780" i="1"/>
  <c r="A531" i="1"/>
  <c r="A3779" i="1"/>
  <c r="A348" i="1"/>
  <c r="A2792" i="1"/>
  <c r="A2823" i="1"/>
  <c r="A7704" i="1"/>
  <c r="A7707" i="1"/>
  <c r="A4681" i="1"/>
  <c r="A6530" i="1"/>
  <c r="A4800" i="1"/>
  <c r="A4839" i="1"/>
  <c r="A4789" i="1"/>
  <c r="A1598" i="1"/>
  <c r="A4838" i="1"/>
  <c r="A7570" i="1"/>
  <c r="A4057" i="1"/>
  <c r="A8081" i="1"/>
  <c r="A9433" i="1"/>
  <c r="A3788" i="1"/>
  <c r="A8718" i="1"/>
  <c r="A4549" i="1"/>
  <c r="A4779" i="1"/>
  <c r="A6963" i="1"/>
  <c r="A6546" i="1"/>
  <c r="A6272" i="1"/>
  <c r="A4120" i="1"/>
  <c r="A7460" i="1"/>
  <c r="A1307" i="1"/>
  <c r="A2528" i="1"/>
  <c r="A5801" i="1"/>
  <c r="A5793" i="1"/>
  <c r="A2542" i="1"/>
  <c r="A9164" i="1"/>
  <c r="A5769" i="1"/>
  <c r="A6322" i="1"/>
  <c r="A6543" i="1"/>
  <c r="A7601" i="1"/>
  <c r="A9601" i="1"/>
  <c r="A3798" i="1"/>
  <c r="A9183" i="1"/>
  <c r="A1462" i="1"/>
  <c r="A6082" i="1"/>
  <c r="A6077" i="1"/>
  <c r="A4061" i="1"/>
  <c r="A6325" i="1"/>
  <c r="A1470" i="1"/>
  <c r="A5566" i="1"/>
  <c r="A366" i="1"/>
  <c r="A353" i="1"/>
  <c r="A6563" i="1"/>
  <c r="A9185" i="1"/>
  <c r="A7590" i="1"/>
  <c r="A4005" i="1"/>
  <c r="A8096" i="1"/>
  <c r="A6278" i="1"/>
  <c r="A1465" i="1"/>
  <c r="A355" i="1"/>
  <c r="A2760" i="1"/>
  <c r="A9165" i="1"/>
  <c r="A5068" i="1"/>
  <c r="A369" i="1"/>
  <c r="A3980" i="1"/>
  <c r="A7591" i="1"/>
  <c r="A5988" i="1"/>
  <c r="A6259" i="1"/>
  <c r="A7856" i="1"/>
  <c r="A8359" i="1"/>
  <c r="A1314" i="1"/>
  <c r="A6267" i="1"/>
  <c r="A6356" i="1"/>
  <c r="A4848" i="1"/>
  <c r="A4832" i="1"/>
  <c r="A4532" i="1"/>
  <c r="A834" i="1"/>
  <c r="A830" i="1"/>
  <c r="A4762" i="1"/>
  <c r="A9298" i="1"/>
  <c r="A9430" i="1"/>
  <c r="A4437" i="1"/>
  <c r="A9400" i="1"/>
  <c r="A5136" i="1"/>
  <c r="A168" i="1"/>
  <c r="A7569" i="1"/>
  <c r="A4049" i="1"/>
  <c r="A3781" i="1"/>
  <c r="A9409" i="1"/>
  <c r="A4442" i="1"/>
  <c r="A365" i="1"/>
  <c r="A5681" i="1"/>
  <c r="A4824" i="1"/>
  <c r="A8357" i="1"/>
  <c r="A6831" i="1"/>
  <c r="A2785" i="1"/>
  <c r="A9431" i="1"/>
  <c r="A6294" i="1"/>
  <c r="A9299" i="1"/>
  <c r="A8112" i="1"/>
  <c r="A681" i="1"/>
  <c r="A2037" i="1"/>
  <c r="A4831" i="1"/>
  <c r="A5682" i="1"/>
  <c r="A7700" i="1"/>
  <c r="A3182" i="1"/>
  <c r="A2038" i="1"/>
  <c r="A8113" i="1"/>
  <c r="A1204" i="1"/>
  <c r="A1207" i="1"/>
  <c r="A1217" i="1"/>
  <c r="A1205" i="1"/>
  <c r="A4827" i="1"/>
  <c r="A829" i="1"/>
  <c r="A1329" i="1"/>
  <c r="A1328" i="1"/>
  <c r="A5130" i="1"/>
  <c r="A1218" i="1"/>
  <c r="A7199" i="1"/>
  <c r="A8144" i="1"/>
  <c r="A8360" i="1"/>
  <c r="A3787" i="1"/>
  <c r="A690" i="1"/>
  <c r="A4830" i="1"/>
  <c r="A1334" i="1"/>
  <c r="A1333" i="1"/>
  <c r="A4021" i="1"/>
  <c r="A683" i="1"/>
  <c r="A1213" i="1"/>
  <c r="A2795" i="1"/>
  <c r="A5683" i="1"/>
  <c r="A2786" i="1"/>
  <c r="A7699" i="1"/>
  <c r="A2797" i="1"/>
  <c r="A1219" i="1"/>
  <c r="A1228" i="1"/>
  <c r="A4828" i="1"/>
  <c r="A1220" i="1"/>
  <c r="A7131" i="1"/>
  <c r="A1216" i="1"/>
  <c r="A9611" i="1"/>
  <c r="A9160" i="1"/>
  <c r="A8860" i="1"/>
  <c r="A4821" i="1"/>
  <c r="A1936" i="1"/>
  <c r="A2316" i="1"/>
  <c r="A8859" i="1"/>
  <c r="A5135" i="1"/>
  <c r="A7687" i="1"/>
  <c r="A197" i="1"/>
  <c r="A8861" i="1"/>
  <c r="A341" i="1"/>
  <c r="A4051" i="1"/>
  <c r="A2803" i="1"/>
  <c r="A9608" i="1"/>
  <c r="A1315" i="1"/>
  <c r="A4844" i="1"/>
  <c r="A465" i="1"/>
  <c r="A4843" i="1"/>
  <c r="A9222" i="1"/>
  <c r="A372" i="1"/>
  <c r="A7774" i="1"/>
  <c r="A3740" i="1"/>
  <c r="A762" i="1"/>
  <c r="A2784" i="1"/>
  <c r="A4846" i="1"/>
  <c r="A4849" i="1"/>
  <c r="A9220" i="1"/>
  <c r="A481" i="1"/>
  <c r="A5173" i="1"/>
  <c r="A5772" i="1"/>
  <c r="A7705" i="1"/>
  <c r="A2217" i="1"/>
  <c r="A447" i="1"/>
  <c r="A3999" i="1"/>
  <c r="A5837" i="1"/>
  <c r="A5324" i="1"/>
  <c r="A9119" i="1"/>
  <c r="A1870" i="1"/>
  <c r="A2242" i="1"/>
  <c r="A6196" i="1"/>
  <c r="A1195" i="1"/>
  <c r="A1001" i="1"/>
  <c r="A1190" i="1"/>
  <c r="A1473" i="1"/>
  <c r="A4948" i="1"/>
  <c r="A8671" i="1"/>
  <c r="A8450" i="1"/>
  <c r="A5358" i="1"/>
  <c r="A4203" i="1"/>
  <c r="A343" i="1"/>
  <c r="A4949" i="1"/>
  <c r="A453" i="1"/>
  <c r="A1816" i="1"/>
  <c r="A1717" i="1"/>
  <c r="A780" i="1"/>
  <c r="A8462" i="1"/>
  <c r="A2227" i="1"/>
  <c r="A5502" i="1"/>
  <c r="A5624" i="1"/>
  <c r="A1397" i="1"/>
  <c r="A166" i="1"/>
  <c r="A5223" i="1"/>
  <c r="A1820" i="1"/>
  <c r="A8801" i="1"/>
  <c r="A4943" i="1"/>
  <c r="A8658" i="1"/>
  <c r="A8659" i="1"/>
  <c r="A4771" i="1"/>
  <c r="A8448" i="1"/>
  <c r="A2240" i="1"/>
  <c r="A4945" i="1"/>
  <c r="A486" i="1"/>
  <c r="A3177" i="1"/>
  <c r="A5684" i="1"/>
  <c r="A2244" i="1"/>
  <c r="A452" i="1"/>
  <c r="A8201" i="1"/>
  <c r="A7577" i="1"/>
  <c r="A3902" i="1"/>
  <c r="A5564" i="1"/>
  <c r="A8447" i="1"/>
  <c r="A7029" i="1"/>
  <c r="A448" i="1"/>
  <c r="A1188" i="1"/>
  <c r="A8449" i="1"/>
  <c r="A6103" i="1"/>
  <c r="A1189" i="1"/>
  <c r="A87" i="1"/>
  <c r="A2353" i="1"/>
  <c r="A2237" i="1"/>
  <c r="A4304" i="1"/>
  <c r="A779" i="1"/>
  <c r="A2354" i="1"/>
  <c r="A7027" i="1"/>
  <c r="A1561" i="1"/>
  <c r="A1565" i="1"/>
  <c r="A4250" i="1"/>
  <c r="A4112" i="1"/>
  <c r="A4154" i="1"/>
  <c r="A1184" i="1"/>
  <c r="A6974" i="1"/>
  <c r="A1191" i="1"/>
  <c r="A2350" i="1"/>
  <c r="A4157" i="1"/>
  <c r="A4777" i="1"/>
  <c r="A2351" i="1"/>
  <c r="A1562" i="1"/>
  <c r="A4772" i="1"/>
  <c r="A1869" i="1"/>
  <c r="A8824" i="1"/>
  <c r="A6473" i="1"/>
  <c r="A4770" i="1"/>
  <c r="A454" i="1"/>
  <c r="A139" i="1"/>
  <c r="A4246" i="1"/>
  <c r="A7661" i="1"/>
  <c r="A7656" i="1"/>
  <c r="A8456" i="1"/>
  <c r="A8583" i="1"/>
  <c r="A8461" i="1"/>
  <c r="A1560" i="1"/>
  <c r="A4155" i="1"/>
  <c r="A2238" i="1"/>
  <c r="A4809" i="1"/>
  <c r="A4458" i="1"/>
  <c r="A4451" i="1"/>
  <c r="A1961" i="1"/>
  <c r="A2968" i="1"/>
  <c r="A4452" i="1"/>
  <c r="A2978" i="1"/>
  <c r="A6889" i="1"/>
  <c r="A2224" i="1"/>
  <c r="A522" i="1"/>
  <c r="A451" i="1"/>
  <c r="A524" i="1"/>
  <c r="A2973" i="1"/>
  <c r="A4453" i="1"/>
  <c r="A520" i="1"/>
  <c r="A3202" i="1"/>
  <c r="A2969" i="1"/>
  <c r="A525" i="1"/>
  <c r="A2960" i="1"/>
  <c r="A4455" i="1"/>
  <c r="A2971" i="1"/>
  <c r="A7072" i="1"/>
  <c r="A7073" i="1"/>
  <c r="A2961" i="1"/>
  <c r="A784" i="1"/>
  <c r="A446" i="1"/>
  <c r="A445" i="1"/>
  <c r="A3887" i="1"/>
  <c r="A7658" i="1"/>
  <c r="A1963" i="1"/>
  <c r="A518" i="1"/>
  <c r="A2220" i="1"/>
  <c r="A7675" i="1"/>
  <c r="A2267" i="1"/>
  <c r="A2225" i="1"/>
  <c r="A2963" i="1"/>
  <c r="A8558" i="1"/>
  <c r="A2258" i="1"/>
  <c r="A4775" i="1"/>
  <c r="A2964" i="1"/>
  <c r="A7038" i="1"/>
  <c r="A7655" i="1"/>
  <c r="A1962" i="1"/>
  <c r="A1960" i="1"/>
  <c r="A519" i="1"/>
  <c r="A4456" i="1"/>
  <c r="A1895" i="1"/>
  <c r="A2967" i="1"/>
  <c r="A1817" i="1"/>
  <c r="A4774" i="1"/>
  <c r="A3172" i="1"/>
  <c r="A3170" i="1"/>
  <c r="A4810" i="1"/>
  <c r="A1819" i="1"/>
  <c r="A3546" i="1"/>
  <c r="A7683" i="1"/>
  <c r="A1958" i="1"/>
  <c r="A1893" i="1"/>
  <c r="A3836" i="1"/>
  <c r="A9357" i="1"/>
  <c r="A6466" i="1"/>
  <c r="A8907" i="1"/>
  <c r="A1378" i="1"/>
  <c r="A5712" i="1"/>
  <c r="A2441" i="1"/>
  <c r="A3171" i="1"/>
  <c r="A6457" i="1"/>
  <c r="A6458" i="1"/>
  <c r="A6453" i="1"/>
  <c r="A9255" i="1"/>
  <c r="A2017" i="1"/>
  <c r="A2247" i="1"/>
  <c r="A7031" i="1"/>
  <c r="A3760" i="1"/>
  <c r="A1318" i="1"/>
  <c r="A2943" i="1"/>
  <c r="A5715" i="1"/>
  <c r="A297" i="1"/>
  <c r="A1818" i="1"/>
  <c r="A8939" i="1"/>
  <c r="A7822" i="1"/>
  <c r="A5686" i="1"/>
  <c r="A9200" i="1"/>
  <c r="A292" i="1"/>
  <c r="A5716" i="1"/>
  <c r="A6467" i="1"/>
  <c r="A3184" i="1"/>
  <c r="A1379" i="1"/>
  <c r="A8573" i="1"/>
  <c r="A3905" i="1"/>
  <c r="A294" i="1"/>
  <c r="A4196" i="1"/>
  <c r="A5685" i="1"/>
  <c r="A3239" i="1"/>
  <c r="A2266" i="1"/>
  <c r="A8846" i="1"/>
  <c r="A927" i="1"/>
  <c r="A9081" i="1"/>
  <c r="A7886" i="1"/>
  <c r="A3199" i="1"/>
  <c r="A4179" i="1"/>
  <c r="A9257" i="1"/>
  <c r="A138" i="1"/>
  <c r="A3243" i="1"/>
  <c r="A3448" i="1"/>
  <c r="A1342" i="1"/>
  <c r="A4459" i="1"/>
  <c r="A8356" i="1"/>
  <c r="A8349" i="1"/>
  <c r="A3501" i="1"/>
  <c r="A915" i="1"/>
  <c r="A8564" i="1"/>
  <c r="A8451" i="1"/>
  <c r="A9066" i="1"/>
  <c r="A6168" i="1"/>
  <c r="A134" i="1"/>
  <c r="A4513" i="1"/>
  <c r="A4512" i="1"/>
  <c r="A8925" i="1"/>
  <c r="A9258" i="1"/>
  <c r="A8597" i="1"/>
  <c r="A3449" i="1"/>
  <c r="A149" i="1"/>
  <c r="A8584" i="1"/>
  <c r="A3822" i="1"/>
  <c r="A8785" i="1"/>
  <c r="A8783" i="1"/>
  <c r="A8586" i="1"/>
  <c r="A8373" i="1"/>
  <c r="A8572" i="1"/>
  <c r="A2263" i="1"/>
  <c r="A3153" i="1"/>
  <c r="A8560" i="1"/>
  <c r="A8372" i="1"/>
  <c r="A8376" i="1"/>
  <c r="A607" i="1"/>
  <c r="A3152" i="1"/>
  <c r="A9256" i="1"/>
  <c r="A2906" i="1"/>
  <c r="A1821" i="1"/>
  <c r="A2231" i="1"/>
  <c r="A130" i="1"/>
  <c r="A5606" i="1"/>
  <c r="A7887" i="1"/>
  <c r="A145" i="1"/>
  <c r="A8841" i="1"/>
  <c r="A7297" i="1"/>
  <c r="A146" i="1"/>
  <c r="A928" i="1"/>
  <c r="A8575" i="1"/>
  <c r="A6442" i="1"/>
  <c r="A7885" i="1"/>
  <c r="A4515" i="1"/>
  <c r="A7393" i="1"/>
  <c r="A8007" i="1"/>
  <c r="A450" i="1"/>
  <c r="A8374" i="1"/>
  <c r="A3200" i="1"/>
  <c r="A3241" i="1"/>
  <c r="A2179" i="1"/>
  <c r="A8924" i="1"/>
  <c r="A28" i="1"/>
  <c r="A2262" i="1"/>
  <c r="A8005" i="1"/>
  <c r="A7878" i="1"/>
  <c r="A2264" i="1"/>
  <c r="A7879" i="1"/>
  <c r="A8377" i="1"/>
  <c r="A2215" i="1"/>
  <c r="A2236" i="1"/>
  <c r="A2232" i="1"/>
  <c r="A2226" i="1"/>
  <c r="A8375" i="1"/>
  <c r="A8370" i="1"/>
  <c r="A8844" i="1"/>
  <c r="A3238" i="1"/>
  <c r="A3249" i="1"/>
  <c r="A7884" i="1"/>
  <c r="A150" i="1"/>
  <c r="A9084" i="1"/>
  <c r="A3483" i="1"/>
  <c r="A136" i="1"/>
  <c r="A9096" i="1"/>
  <c r="A4248" i="1"/>
  <c r="A5597" i="1"/>
  <c r="A8559" i="1"/>
  <c r="A4457" i="1"/>
  <c r="A2169" i="1"/>
  <c r="A8599" i="1"/>
  <c r="A4510" i="1"/>
  <c r="A8643" i="1"/>
  <c r="A4514" i="1"/>
  <c r="A135" i="1"/>
  <c r="A9141" i="1"/>
  <c r="A8577" i="1"/>
  <c r="A8595" i="1"/>
  <c r="A144" i="1"/>
  <c r="A8352" i="1"/>
  <c r="A3541" i="1"/>
  <c r="A8348" i="1"/>
  <c r="A785" i="1"/>
  <c r="A9056" i="1"/>
  <c r="A8795" i="1"/>
  <c r="A8598" i="1"/>
  <c r="A137" i="1"/>
  <c r="A9469" i="1"/>
  <c r="A1862" i="1"/>
  <c r="A1909" i="1"/>
  <c r="A8600" i="1"/>
  <c r="A128" i="1"/>
  <c r="A1968" i="1"/>
  <c r="A4511" i="1"/>
  <c r="A4516" i="1"/>
  <c r="A1860" i="1"/>
  <c r="A1908" i="1"/>
  <c r="A8596" i="1"/>
  <c r="A7883" i="1"/>
  <c r="A2155" i="1"/>
  <c r="A2935" i="1"/>
  <c r="A129" i="1"/>
  <c r="A8123" i="1"/>
  <c r="A7573" i="1"/>
  <c r="A6479" i="1"/>
  <c r="A5150" i="1"/>
  <c r="A1461" i="1"/>
  <c r="A3848" i="1"/>
  <c r="A7583" i="1"/>
  <c r="A818" i="1"/>
  <c r="A999" i="1"/>
  <c r="A6835" i="1"/>
  <c r="A1709" i="1"/>
  <c r="A7613" i="1"/>
  <c r="A658" i="1"/>
  <c r="A1000" i="1"/>
  <c r="A7689" i="1"/>
  <c r="A4374" i="1"/>
  <c r="A7111" i="1"/>
  <c r="A6279" i="1"/>
  <c r="A7849" i="1"/>
  <c r="A782" i="1"/>
  <c r="A655" i="1"/>
  <c r="A6854" i="1"/>
  <c r="A7727" i="1"/>
  <c r="A7450" i="1"/>
  <c r="A1350" i="1"/>
  <c r="A1002" i="1"/>
  <c r="A1514" i="1"/>
  <c r="A7701" i="1"/>
  <c r="A1200" i="1"/>
  <c r="A675" i="1"/>
  <c r="A7726" i="1"/>
  <c r="A998" i="1"/>
  <c r="A7568" i="1"/>
  <c r="A670" i="1"/>
  <c r="A5148" i="1"/>
  <c r="A1513" i="1"/>
  <c r="A1259" i="1"/>
  <c r="A7269" i="1"/>
  <c r="A9294" i="1"/>
  <c r="A7627" i="1"/>
  <c r="A4773" i="1"/>
  <c r="A4654" i="1"/>
  <c r="A6012" i="1"/>
  <c r="A2372" i="1"/>
  <c r="A4764" i="1"/>
  <c r="A7415" i="1"/>
  <c r="A8366" i="1"/>
  <c r="A5659" i="1"/>
  <c r="A3627" i="1"/>
  <c r="A7571" i="1"/>
  <c r="A201" i="1"/>
  <c r="A3310" i="1"/>
  <c r="A4235" i="1"/>
  <c r="A2735" i="1"/>
  <c r="A9425" i="1"/>
  <c r="A2162" i="1"/>
  <c r="A4098" i="1"/>
  <c r="A2360" i="1"/>
  <c r="A4184" i="1"/>
  <c r="A2732" i="1"/>
  <c r="A2359" i="1"/>
  <c r="A174" i="1"/>
  <c r="A5523" i="1"/>
  <c r="A4763" i="1"/>
  <c r="A2139" i="1"/>
  <c r="A162" i="1"/>
  <c r="A8098" i="1"/>
  <c r="A7710" i="1"/>
  <c r="A163" i="1"/>
  <c r="A9428" i="1"/>
  <c r="A158" i="1"/>
  <c r="A4181" i="1"/>
  <c r="A513" i="1"/>
  <c r="A8054" i="1"/>
  <c r="A8165" i="1"/>
  <c r="A5658" i="1"/>
  <c r="A2362" i="1"/>
  <c r="A1255" i="1"/>
  <c r="A1116" i="1"/>
  <c r="A2358" i="1"/>
  <c r="A5968" i="1"/>
  <c r="A9427" i="1"/>
  <c r="A4653" i="1"/>
  <c r="A1588" i="1"/>
  <c r="A2816" i="1"/>
  <c r="A8995" i="1"/>
  <c r="A5625" i="1"/>
  <c r="A4227" i="1"/>
  <c r="A6342" i="1"/>
  <c r="A8982" i="1"/>
  <c r="A2361" i="1"/>
  <c r="A3270" i="1"/>
  <c r="A3169" i="1"/>
  <c r="A8843" i="1"/>
  <c r="A2944" i="1"/>
  <c r="A4660" i="1"/>
  <c r="A6962" i="1"/>
  <c r="A9302" i="1"/>
  <c r="A5284" i="1"/>
  <c r="A8815" i="1"/>
  <c r="A3964" i="1"/>
  <c r="A8853" i="1"/>
  <c r="A7065" i="1"/>
  <c r="A5475" i="1"/>
  <c r="A9263" i="1"/>
  <c r="A4661" i="1"/>
  <c r="A2730" i="1"/>
  <c r="A1394" i="1"/>
  <c r="A3748" i="1"/>
  <c r="A6724" i="1"/>
  <c r="A2952" i="1"/>
  <c r="A4234" i="1"/>
  <c r="A6192" i="1"/>
  <c r="A2817" i="1"/>
  <c r="A6493" i="1"/>
  <c r="A275" i="1"/>
  <c r="A5401" i="1"/>
  <c r="A6189" i="1"/>
  <c r="A1454" i="1"/>
  <c r="A1266" i="1"/>
  <c r="A5319" i="1"/>
  <c r="A279" i="1"/>
  <c r="A5967" i="1"/>
  <c r="A6533" i="1"/>
  <c r="A6540" i="1"/>
  <c r="A5747" i="1"/>
  <c r="A6722" i="1"/>
  <c r="A5204" i="1"/>
  <c r="A276" i="1"/>
  <c r="A5748" i="1"/>
  <c r="A3447" i="1"/>
  <c r="A8817" i="1"/>
  <c r="A1261" i="1"/>
  <c r="A5746" i="1"/>
  <c r="A7626" i="1"/>
  <c r="A8016" i="1"/>
  <c r="A3322" i="1"/>
  <c r="A3478" i="1"/>
  <c r="A3477" i="1"/>
  <c r="A6541" i="1"/>
  <c r="A3323" i="1"/>
  <c r="A8439" i="1"/>
  <c r="A3479" i="1"/>
  <c r="A3474" i="1"/>
  <c r="A4985" i="1"/>
  <c r="A6523" i="1"/>
  <c r="A6522" i="1"/>
  <c r="A7396" i="1"/>
  <c r="A4984" i="1"/>
  <c r="A3490" i="1"/>
  <c r="A1268" i="1"/>
  <c r="A4219" i="1"/>
  <c r="A1267" i="1"/>
  <c r="A6801" i="1"/>
  <c r="A5842" i="1"/>
  <c r="A6797" i="1"/>
  <c r="A5846" i="1"/>
  <c r="A6802" i="1"/>
  <c r="A6800" i="1"/>
  <c r="A4190" i="1"/>
  <c r="A5851" i="1"/>
  <c r="A8760" i="1"/>
  <c r="A1418" i="1"/>
  <c r="A1260" i="1"/>
  <c r="A5847" i="1"/>
  <c r="A7465" i="1"/>
  <c r="A1269" i="1"/>
  <c r="A7466" i="1"/>
  <c r="A4233" i="1"/>
  <c r="A4147" i="1"/>
  <c r="A4206" i="1"/>
  <c r="A7366" i="1"/>
  <c r="A1258" i="1"/>
  <c r="A398" i="1"/>
  <c r="A6495" i="1"/>
  <c r="A1264" i="1"/>
  <c r="A2396" i="1"/>
  <c r="A4182" i="1"/>
  <c r="A6796" i="1"/>
  <c r="A7327" i="1"/>
  <c r="A7905" i="1"/>
  <c r="A3427" i="1"/>
  <c r="A2828" i="1"/>
  <c r="A1253" i="1"/>
  <c r="A4229" i="1"/>
  <c r="A817" i="1"/>
  <c r="A4191" i="1"/>
  <c r="A1270" i="1"/>
  <c r="A8093" i="1"/>
  <c r="A1257" i="1"/>
  <c r="A8786" i="1"/>
  <c r="A1254" i="1"/>
  <c r="A5498" i="1"/>
  <c r="A3187" i="1"/>
  <c r="A626" i="1"/>
  <c r="A527" i="1"/>
  <c r="A2430" i="1"/>
  <c r="A530" i="1"/>
  <c r="A310" i="1"/>
  <c r="A2373" i="1"/>
  <c r="A5379" i="1"/>
  <c r="A7311" i="1"/>
  <c r="A7516" i="1"/>
  <c r="A5494" i="1"/>
  <c r="A4677" i="1"/>
  <c r="A95" i="1"/>
  <c r="A2700" i="1"/>
  <c r="A6992" i="1"/>
  <c r="A5638" i="1"/>
  <c r="A1444" i="1"/>
  <c r="A8764" i="1"/>
  <c r="A8757" i="1"/>
  <c r="A2381" i="1"/>
  <c r="A4856" i="1"/>
  <c r="A7520" i="1"/>
  <c r="A2380" i="1"/>
  <c r="A3480" i="1"/>
  <c r="A8761" i="1"/>
  <c r="A892" i="1"/>
  <c r="A5474" i="1"/>
  <c r="A8758" i="1"/>
  <c r="A3353" i="1"/>
  <c r="A1955" i="1"/>
  <c r="A6485" i="1"/>
  <c r="A4893" i="1"/>
  <c r="A1110" i="1"/>
  <c r="A3337" i="1"/>
  <c r="A5935" i="1"/>
  <c r="A1760" i="1"/>
  <c r="A5465" i="1"/>
  <c r="A2378" i="1"/>
  <c r="A1280" i="1"/>
  <c r="A3726" i="1"/>
  <c r="A5487" i="1"/>
  <c r="A3401" i="1"/>
  <c r="A8279" i="1"/>
  <c r="A5297" i="1"/>
  <c r="A6778" i="1"/>
  <c r="A3222" i="1"/>
  <c r="A4471" i="1"/>
  <c r="A6542" i="1"/>
  <c r="A4230" i="1"/>
  <c r="A81" i="1"/>
  <c r="A1549" i="1"/>
  <c r="A1265" i="1"/>
  <c r="A828" i="1"/>
  <c r="A6772" i="1"/>
  <c r="A9577" i="1"/>
  <c r="A7518" i="1"/>
  <c r="A8759" i="1"/>
  <c r="A5705" i="1"/>
  <c r="A673" i="1"/>
  <c r="A3005" i="1"/>
  <c r="A3428" i="1"/>
  <c r="A5461" i="1"/>
  <c r="A8044" i="1"/>
  <c r="A248" i="1"/>
  <c r="A5472" i="1"/>
  <c r="A581" i="1"/>
  <c r="A2592" i="1"/>
  <c r="A1011" i="1"/>
  <c r="A2527" i="1"/>
  <c r="A6775" i="1"/>
  <c r="A9576" i="1"/>
  <c r="A3421" i="1"/>
  <c r="A676" i="1"/>
  <c r="A6780" i="1"/>
  <c r="A2594" i="1"/>
  <c r="A6229" i="1"/>
  <c r="A5931" i="1"/>
  <c r="A2521" i="1"/>
  <c r="A8501" i="1"/>
  <c r="A3321" i="1"/>
  <c r="A8499" i="1"/>
  <c r="A4170" i="1"/>
  <c r="A2595" i="1"/>
  <c r="A7837" i="1"/>
  <c r="A3423" i="1"/>
  <c r="A2442" i="1"/>
  <c r="A3148" i="1"/>
  <c r="A6991" i="1"/>
  <c r="A5304" i="1"/>
  <c r="A7615" i="1"/>
  <c r="A888" i="1"/>
  <c r="A722" i="1"/>
  <c r="A4678" i="1"/>
  <c r="A7100" i="1"/>
  <c r="A5521" i="1"/>
  <c r="A8747" i="1"/>
  <c r="A1262" i="1"/>
  <c r="A543" i="1"/>
  <c r="A7720" i="1"/>
  <c r="A2379" i="1"/>
  <c r="A742" i="1"/>
  <c r="A2523" i="1"/>
  <c r="A5964" i="1"/>
  <c r="A2520" i="1"/>
  <c r="A2522" i="1"/>
  <c r="A6773" i="1"/>
  <c r="A819" i="1"/>
  <c r="A311" i="1"/>
  <c r="A1393" i="1"/>
  <c r="A6480" i="1"/>
  <c r="A2702" i="1"/>
  <c r="A5291" i="1"/>
  <c r="A3414" i="1"/>
  <c r="A3566" i="1"/>
  <c r="A6781" i="1"/>
  <c r="A6776" i="1"/>
  <c r="A656" i="1"/>
  <c r="A2368" i="1"/>
  <c r="A677" i="1"/>
  <c r="A6833" i="1"/>
  <c r="A3004" i="1"/>
  <c r="A2946" i="1"/>
  <c r="A7451" i="1"/>
  <c r="A3406" i="1"/>
  <c r="A286" i="1"/>
  <c r="A6774" i="1"/>
  <c r="A1550" i="1"/>
  <c r="A272" i="1"/>
  <c r="A2685" i="1"/>
  <c r="A273" i="1"/>
  <c r="A4223" i="1"/>
  <c r="A312" i="1"/>
  <c r="A2821" i="1"/>
  <c r="A8750" i="1"/>
  <c r="A1263" i="1"/>
  <c r="A585" i="1"/>
  <c r="A2525" i="1"/>
  <c r="A7295" i="1"/>
  <c r="A5094" i="1"/>
  <c r="A671" i="1"/>
  <c r="A3213" i="1"/>
  <c r="A5382" i="1"/>
  <c r="A271" i="1"/>
  <c r="A4238" i="1"/>
  <c r="A321" i="1"/>
  <c r="A8746" i="1"/>
  <c r="A2524" i="1"/>
  <c r="A1075" i="1"/>
  <c r="A1781" i="1"/>
  <c r="A3348" i="1"/>
  <c r="A3405" i="1"/>
  <c r="A9538" i="1"/>
  <c r="A3584" i="1"/>
  <c r="A8139" i="1"/>
  <c r="A6779" i="1"/>
  <c r="A1355" i="1"/>
  <c r="A5493" i="1"/>
  <c r="A2598" i="1"/>
  <c r="A7719" i="1"/>
  <c r="A532" i="1"/>
  <c r="A7125" i="1"/>
  <c r="A8010" i="1"/>
  <c r="A5497" i="1"/>
  <c r="A392" i="1"/>
  <c r="A608" i="1"/>
  <c r="A8198" i="1"/>
  <c r="A8753" i="1"/>
  <c r="A8756" i="1"/>
  <c r="A6777" i="1"/>
  <c r="A5489" i="1"/>
  <c r="A6025" i="1"/>
  <c r="A3012" i="1"/>
  <c r="A8805" i="1"/>
  <c r="A8507" i="1"/>
  <c r="A274" i="1"/>
  <c r="A5966" i="1"/>
  <c r="A6470" i="1"/>
  <c r="A7160" i="1"/>
  <c r="A8220" i="1"/>
  <c r="A767" i="1"/>
  <c r="A1713" i="1"/>
  <c r="A2814" i="1"/>
  <c r="A5318" i="1"/>
  <c r="A5706" i="1"/>
  <c r="A5041" i="1"/>
  <c r="A663" i="1"/>
  <c r="A547" i="1"/>
  <c r="A609" i="1"/>
  <c r="A8049" i="1"/>
  <c r="A3413" i="1"/>
  <c r="A7010" i="1"/>
  <c r="A8668" i="1"/>
  <c r="A3335" i="1"/>
  <c r="A6248" i="1"/>
  <c r="A3407" i="1"/>
  <c r="A2949" i="1"/>
  <c r="A1423" i="1"/>
  <c r="A3412" i="1"/>
  <c r="A2593" i="1"/>
  <c r="A1424" i="1"/>
  <c r="A723" i="1"/>
  <c r="A1458" i="1"/>
  <c r="A5310" i="1"/>
  <c r="A8755" i="1"/>
  <c r="A5464" i="1"/>
  <c r="A3334" i="1"/>
  <c r="A1574" i="1"/>
  <c r="A7240" i="1"/>
  <c r="A526" i="1"/>
  <c r="A7127" i="1"/>
  <c r="A5092" i="1"/>
  <c r="A6982" i="1"/>
  <c r="A3320" i="1"/>
  <c r="A5309" i="1"/>
  <c r="A8754" i="1"/>
  <c r="A5311" i="1"/>
  <c r="A7239" i="1"/>
  <c r="A7666" i="1"/>
  <c r="A5876" i="1"/>
  <c r="A890" i="1"/>
  <c r="A719" i="1"/>
  <c r="A4932" i="1"/>
  <c r="A3400" i="1"/>
  <c r="A1525" i="1"/>
  <c r="A8052" i="1"/>
  <c r="A5393" i="1"/>
  <c r="A546" i="1"/>
  <c r="A8704" i="1"/>
  <c r="A3410" i="1"/>
  <c r="A7103" i="1"/>
  <c r="A8285" i="1"/>
  <c r="A720" i="1"/>
  <c r="A7061" i="1"/>
  <c r="A5124" i="1"/>
  <c r="A7068" i="1"/>
  <c r="A3340" i="1"/>
  <c r="A6988" i="1"/>
  <c r="A1421" i="1"/>
  <c r="A5320" i="1"/>
  <c r="A2526" i="1"/>
  <c r="A7340" i="1"/>
  <c r="A2947" i="1"/>
  <c r="A727" i="1"/>
  <c r="A726" i="1"/>
  <c r="A3342" i="1"/>
  <c r="A3409" i="1"/>
  <c r="A278" i="1"/>
  <c r="A171" i="1"/>
  <c r="A7004" i="1"/>
  <c r="A5963" i="1"/>
  <c r="A1352" i="1"/>
  <c r="A6243" i="1"/>
  <c r="A889" i="1"/>
  <c r="A5902" i="1"/>
  <c r="A1422" i="1"/>
  <c r="A5933" i="1"/>
  <c r="A5288" i="1"/>
  <c r="A8219" i="1"/>
  <c r="A3325" i="1"/>
  <c r="A8221" i="1"/>
  <c r="A3284" i="1"/>
  <c r="A7000" i="1"/>
  <c r="A7011" i="1"/>
  <c r="A721" i="1"/>
  <c r="A3329" i="1"/>
  <c r="A623" i="1"/>
  <c r="A7008" i="1"/>
  <c r="A1521" i="1"/>
  <c r="A1460" i="1"/>
  <c r="A7691" i="1"/>
  <c r="A8992" i="1"/>
  <c r="A2326" i="1"/>
  <c r="A9464" i="1"/>
  <c r="A2824" i="1"/>
  <c r="A1787" i="1"/>
  <c r="A7379" i="1"/>
  <c r="A7105" i="1"/>
  <c r="A389" i="1"/>
  <c r="A8166" i="1"/>
  <c r="A5997" i="1"/>
  <c r="A3197" i="1"/>
  <c r="A6169" i="1"/>
  <c r="A6844" i="1"/>
  <c r="A9536" i="1"/>
  <c r="A6848" i="1"/>
  <c r="A1786" i="1"/>
  <c r="A8091" i="1"/>
  <c r="A6941" i="1"/>
  <c r="A3488" i="1"/>
  <c r="A5061" i="1"/>
  <c r="A6838" i="1"/>
  <c r="A7106" i="1"/>
  <c r="A3711" i="1"/>
  <c r="A6019" i="1"/>
  <c r="A8738" i="1"/>
  <c r="A3020" i="1"/>
  <c r="A6849" i="1"/>
  <c r="A3009" i="1"/>
  <c r="A8032" i="1"/>
  <c r="A6840" i="1"/>
  <c r="A3007" i="1"/>
  <c r="A6841" i="1"/>
  <c r="A6847" i="1"/>
  <c r="A6837" i="1"/>
  <c r="A550" i="1"/>
  <c r="A3596" i="1"/>
  <c r="A7363" i="1"/>
  <c r="A5066" i="1"/>
  <c r="A3594" i="1"/>
  <c r="A1073" i="1"/>
  <c r="A549" i="1"/>
  <c r="A2880" i="1"/>
  <c r="A3712" i="1"/>
  <c r="A4187" i="1"/>
  <c r="A5608" i="1"/>
  <c r="A7377" i="1"/>
  <c r="A5402" i="1"/>
  <c r="A5499" i="1"/>
  <c r="A1789" i="1"/>
  <c r="A2475" i="1"/>
  <c r="A6843" i="1"/>
  <c r="A548" i="1"/>
  <c r="A6845" i="1"/>
  <c r="A1790" i="1"/>
  <c r="A3008" i="1"/>
  <c r="A7383" i="1"/>
  <c r="A2819" i="1"/>
  <c r="A1782" i="1"/>
  <c r="A7382" i="1"/>
  <c r="A3006" i="1"/>
  <c r="A6156" i="1"/>
  <c r="A1784" i="1"/>
  <c r="A1524" i="1"/>
  <c r="A2394" i="1"/>
  <c r="A9466" i="1"/>
  <c r="A9462" i="1"/>
  <c r="A6474" i="1"/>
  <c r="A2596" i="1"/>
  <c r="A9465" i="1"/>
  <c r="A1788" i="1"/>
  <c r="A2756" i="1"/>
  <c r="A3011" i="1"/>
  <c r="A5060" i="1"/>
  <c r="A6846" i="1"/>
  <c r="A9194" i="1"/>
  <c r="A2328" i="1"/>
  <c r="A2327" i="1"/>
  <c r="A2822" i="1"/>
  <c r="A5965" i="1"/>
  <c r="A6842" i="1"/>
  <c r="A1783" i="1"/>
  <c r="A8167" i="1"/>
  <c r="A6839" i="1"/>
  <c r="A2869" i="1"/>
  <c r="A1785" i="1"/>
  <c r="A5962" i="1"/>
  <c r="A5303" i="1"/>
  <c r="A2568" i="1"/>
  <c r="A6915" i="1"/>
  <c r="A8089" i="1"/>
  <c r="A6917" i="1"/>
  <c r="A5889" i="1"/>
  <c r="A9168" i="1"/>
  <c r="A8024" i="1"/>
  <c r="A5306" i="1"/>
  <c r="A2325" i="1"/>
  <c r="A8013" i="1"/>
  <c r="A6911" i="1"/>
  <c r="A7819" i="1"/>
  <c r="A9159" i="1"/>
  <c r="A6916" i="1"/>
  <c r="A6909" i="1"/>
  <c r="A8025" i="1"/>
  <c r="A8735" i="1"/>
  <c r="A732" i="1"/>
  <c r="A6521" i="1"/>
  <c r="A6912" i="1"/>
  <c r="A4183" i="1"/>
  <c r="A5500" i="1"/>
  <c r="A4436" i="1"/>
  <c r="A7519" i="1"/>
  <c r="A5888" i="1"/>
  <c r="A6910" i="1"/>
  <c r="A2562" i="1"/>
  <c r="A4432" i="1"/>
  <c r="A5248" i="1"/>
  <c r="A5890" i="1"/>
  <c r="A4435" i="1"/>
  <c r="A551" i="1"/>
  <c r="A6725" i="1"/>
  <c r="A5480" i="1"/>
  <c r="A9475" i="1"/>
  <c r="A7517" i="1"/>
  <c r="A4242" i="1"/>
  <c r="A4431" i="1"/>
  <c r="A7101" i="1"/>
  <c r="A1354" i="1"/>
  <c r="A7801" i="1"/>
  <c r="A5887" i="1"/>
  <c r="A2324" i="1"/>
  <c r="A5296" i="1"/>
  <c r="A4433" i="1"/>
  <c r="A3597" i="1"/>
  <c r="A6913" i="1"/>
  <c r="A7766" i="1"/>
  <c r="A7740" i="1"/>
  <c r="A7760" i="1"/>
  <c r="A7373" i="1"/>
  <c r="A8737" i="1"/>
  <c r="A733" i="1"/>
  <c r="A7809" i="1"/>
  <c r="A5892" i="1"/>
  <c r="A5891" i="1"/>
  <c r="A4434" i="1"/>
  <c r="A9476" i="1"/>
  <c r="A3931" i="1"/>
  <c r="A4449" i="1"/>
  <c r="A5893" i="1"/>
  <c r="A3595" i="1"/>
  <c r="A8736" i="1"/>
  <c r="A2286" i="1"/>
  <c r="A7154" i="1"/>
  <c r="A7242" i="1"/>
  <c r="A6908" i="1"/>
  <c r="A7237" i="1"/>
  <c r="A3419" i="1"/>
  <c r="A5485" i="1"/>
  <c r="A731" i="1"/>
  <c r="A7155" i="1"/>
  <c r="A1256" i="1"/>
  <c r="A4870" i="1"/>
  <c r="A3223" i="1"/>
  <c r="A2658" i="1"/>
  <c r="A9463" i="1"/>
  <c r="A5376" i="1"/>
  <c r="A7730" i="1"/>
  <c r="A1074" i="1"/>
  <c r="A5406" i="1"/>
  <c r="A3251" i="1"/>
  <c r="A6233" i="1"/>
  <c r="A7612" i="1"/>
  <c r="A1579" i="1"/>
  <c r="A6476" i="1"/>
  <c r="A5366" i="1"/>
  <c r="A3681" i="1"/>
  <c r="A1757" i="1"/>
  <c r="A5374" i="1"/>
  <c r="A3746" i="1"/>
  <c r="A7934" i="1"/>
  <c r="A6914" i="1"/>
  <c r="A8515" i="1"/>
  <c r="A5380" i="1"/>
  <c r="A8518" i="1"/>
  <c r="A8716" i="1"/>
  <c r="A1072" i="1"/>
  <c r="A5390" i="1"/>
  <c r="A8500" i="1"/>
  <c r="A6671" i="1"/>
  <c r="A3226" i="1"/>
  <c r="A3380" i="1"/>
  <c r="A6907" i="1"/>
  <c r="A3552" i="1"/>
  <c r="A7405" i="1"/>
  <c r="A2470" i="1"/>
  <c r="A6501" i="1"/>
  <c r="A3282" i="1"/>
  <c r="A5405" i="1"/>
  <c r="A2666" i="1"/>
  <c r="A6961" i="1"/>
  <c r="A1076" i="1"/>
  <c r="A5391" i="1"/>
  <c r="A7457" i="1"/>
  <c r="A1078" i="1"/>
  <c r="A6486" i="1"/>
  <c r="A3276" i="1"/>
  <c r="A5396" i="1"/>
  <c r="A6499" i="1"/>
  <c r="A3704" i="1"/>
  <c r="A8028" i="1"/>
  <c r="A7729" i="1"/>
  <c r="A3240" i="1"/>
</calcChain>
</file>

<file path=xl/sharedStrings.xml><?xml version="1.0" encoding="utf-8"?>
<sst xmlns="http://schemas.openxmlformats.org/spreadsheetml/2006/main" count="28849" uniqueCount="9704">
  <si>
    <t>ValeFISE</t>
  </si>
  <si>
    <t>NombreBeneficiario</t>
  </si>
  <si>
    <t>FechaVigenciaInicio</t>
  </si>
  <si>
    <t>FechaVigenciaFin</t>
  </si>
  <si>
    <t>NombreProvincia</t>
  </si>
  <si>
    <t>NombreDistrito</t>
  </si>
  <si>
    <t>BARAZORDA CALDERON, KATY ROCIO</t>
  </si>
  <si>
    <t>ABANCAY</t>
  </si>
  <si>
    <t>MOSCOSO DE COADWOY, TOMASA TULA</t>
  </si>
  <si>
    <t>VASQUEZ GUZMAN, HILDA DORIS</t>
  </si>
  <si>
    <t>CAVERO CUARESMA, HENRY FAVIO</t>
  </si>
  <si>
    <t>RIVERA PALOMINO, DANIEL</t>
  </si>
  <si>
    <t>GUTIERREZ SORIA, NATIVIDAD</t>
  </si>
  <si>
    <t>SALAS LAIME, DAVID</t>
  </si>
  <si>
    <t>VARGAS DURAN, RONALD</t>
  </si>
  <si>
    <t>CASTAÑEDA QUISPE, TIBURCIO</t>
  </si>
  <si>
    <t>CASTAÑEDA AMPUERO, CAROLINA</t>
  </si>
  <si>
    <t>PEREZ NIETO, JULIA</t>
  </si>
  <si>
    <t>VALVERDE VILLAFUERTE, TEODOCIA</t>
  </si>
  <si>
    <t>MERINO POZO, MATILDE</t>
  </si>
  <si>
    <t>PUMAPILLO AYMARA, FRANCISCO JAVIER</t>
  </si>
  <si>
    <t>MERINO TELLO, ALEJANDRO</t>
  </si>
  <si>
    <t>SICOS TECSE, ENRIQUE</t>
  </si>
  <si>
    <t>CASTILLO LUNA, JULIAN</t>
  </si>
  <si>
    <t>ANCCO MARTINEZ, HILDA</t>
  </si>
  <si>
    <t>PONCE JUAREZ, SONIA</t>
  </si>
  <si>
    <t>SANCHEZ CARBAJAL, URIEL</t>
  </si>
  <si>
    <t>DAVALOS CACERES, NANCY GREGORIA</t>
  </si>
  <si>
    <t>SONCCO NIEBLE, JUDITH</t>
  </si>
  <si>
    <t>VARGAS MOREANO, LINO</t>
  </si>
  <si>
    <t>JAUREGUI ZUZUNAGA, DELMIRA</t>
  </si>
  <si>
    <t>JURO SOLIS, MARIA SANTOSA</t>
  </si>
  <si>
    <t>VILLAR TROCONES, KATHERINE</t>
  </si>
  <si>
    <t>GOBEA BALLON, RUBEN</t>
  </si>
  <si>
    <t>RODAS CABALLERO, PEDRO</t>
  </si>
  <si>
    <t>QUINTE CANALES, LIZBETH</t>
  </si>
  <si>
    <t>CRUZ AGUILAR, FLORENTINO</t>
  </si>
  <si>
    <t>DURAN RIVAS, AUGUSTIN</t>
  </si>
  <si>
    <t>HUALLPA SINTE, SANTOS</t>
  </si>
  <si>
    <t>RAMOS CARPIO VDA DE JAVIER, RITA</t>
  </si>
  <si>
    <t>PANDO LOPEZ, RAUL FRANCISCO</t>
  </si>
  <si>
    <t>MARQUEZ VDA DE ROBLES, MAXIMILIANA</t>
  </si>
  <si>
    <t>CARRION LEON, FELICITAS</t>
  </si>
  <si>
    <t>RAMOS CALLE, VENANCIO</t>
  </si>
  <si>
    <t>TRUJILLANO TRUJILLO, MARIANO</t>
  </si>
  <si>
    <t>TAIPE YUCRA, FRUELAN</t>
  </si>
  <si>
    <t>TALABERANO DE CASTRO, CELESTINA</t>
  </si>
  <si>
    <t>LAGUNA CACERES, ELIZABETH</t>
  </si>
  <si>
    <t>BRAVO RIOS, SANTOSA INES</t>
  </si>
  <si>
    <t>CHUMPISUCA VALDERRAMA, EULOGIO</t>
  </si>
  <si>
    <t>SANCHEZ ALARCON, SANTUSA</t>
  </si>
  <si>
    <t>QUISPE ANDIA, ROSMERY</t>
  </si>
  <si>
    <t>BOESO MEDRANO, FLORENCIA</t>
  </si>
  <si>
    <t>BLAS FLORES, VIRGINIA EULOGIA</t>
  </si>
  <si>
    <t>ONTON ENCISO, BERTHA</t>
  </si>
  <si>
    <t>SAAVEDRA ROBLES, JUANA</t>
  </si>
  <si>
    <t>TEVES BARRIOS, FELIPE</t>
  </si>
  <si>
    <t>TECSI DE VEGA, TEODORA</t>
  </si>
  <si>
    <t>GUZMAN CHACON, ANA MARIA</t>
  </si>
  <si>
    <t>SIERRA DIAZ, AYDE GLADYS|</t>
  </si>
  <si>
    <t>RIVAS LOPEZ, CLAUDIO</t>
  </si>
  <si>
    <t>DAMIAN FERRRO, SANTOS JUAN</t>
  </si>
  <si>
    <t>HUAMANI GONZALES, JOSE ANTONIO</t>
  </si>
  <si>
    <t>ARGAMONTE SANCHEZ, BENEDICTA</t>
  </si>
  <si>
    <t>ARREDONDO PEDRAZA, BASILIA AYDE</t>
  </si>
  <si>
    <t>VALDERRAMA TAIPE, MAXIMILIANO</t>
  </si>
  <si>
    <t>CARBAJAL BRAVO, GUILLERMO</t>
  </si>
  <si>
    <t>BARRIENTOS TORRES, JESUS</t>
  </si>
  <si>
    <t>AVENDAÑO FUNDIA, FLORENTINA</t>
  </si>
  <si>
    <t>RAMOS CALLE, BACILIA</t>
  </si>
  <si>
    <t>LAURA ROJAS DE DAMIAN, MARTHA</t>
  </si>
  <si>
    <t>DAMIAN CHIPA, MAURO</t>
  </si>
  <si>
    <t>FERRO UTANI, FLOR DE MARIA</t>
  </si>
  <si>
    <t>HUAMAN PAHUARA, VICTORIA</t>
  </si>
  <si>
    <t>TORRES HUAMAN, ALICIA</t>
  </si>
  <si>
    <t>OYOLO CCAHUANA, MARLENY</t>
  </si>
  <si>
    <t>FERRO UTANI, YSABEL</t>
  </si>
  <si>
    <t>GUILLEN AIQUIPA, CARLOS</t>
  </si>
  <si>
    <t>ARONE PAMPAÑAUPA, CIRILA</t>
  </si>
  <si>
    <t>AYMA DOLORES, MARIA</t>
  </si>
  <si>
    <t>CURASI VILCA, JUAN</t>
  </si>
  <si>
    <t>SALINAS OCAÑA, MARTIN</t>
  </si>
  <si>
    <t>JUAREZ ÑAHUI, SANTOS</t>
  </si>
  <si>
    <t>CARRASCO MIRANDA, MARIA</t>
  </si>
  <si>
    <t>CARRASCO ANAMPA, WILBER</t>
  </si>
  <si>
    <t>PINARES VARGAS, EUSEBIA</t>
  </si>
  <si>
    <t>HUANCACURI DE FLORES, ALEJANDRINA</t>
  </si>
  <si>
    <t>OLIVARES CCOLCCA, BASILIO</t>
  </si>
  <si>
    <t>FERRO SILVA, MARIA DIONICIA</t>
  </si>
  <si>
    <t>QUISPE TAPIA, VICTOR</t>
  </si>
  <si>
    <t>LUPENTA SALDIVAR, SANTUSA</t>
  </si>
  <si>
    <t>TAIPE TOMAS PERCY, ESTRADA</t>
  </si>
  <si>
    <t>GUTIERREZ QUISPE, JOAQUIN</t>
  </si>
  <si>
    <t>MENA PEREZ, NARCIZO</t>
  </si>
  <si>
    <t>GOMEZ CARBAJAL, MERCEDES</t>
  </si>
  <si>
    <t>CHIPANA PARCCO, FELICIANA</t>
  </si>
  <si>
    <t>CARBAJAL BUSTOS, GUILLERMO</t>
  </si>
  <si>
    <t>ELIAS ROJAS, JANY</t>
  </si>
  <si>
    <t>ALFARO VALER, GIRALDO</t>
  </si>
  <si>
    <t>VILLEGAS AEDO, FELIX</t>
  </si>
  <si>
    <t>FERNANDEZ ALVAREZ, OSCAR FERNANDO</t>
  </si>
  <si>
    <t>TTICA CCONISLLA, GIOVANA</t>
  </si>
  <si>
    <t>VALER RODRIGUEZ, AUGUSTO</t>
  </si>
  <si>
    <t>TACO HUAMANI, ANTONIO</t>
  </si>
  <si>
    <t>VILLAR CAMACHO, ELIZABETH</t>
  </si>
  <si>
    <t>LOAYZA AGUIRRE, ALBERTINA</t>
  </si>
  <si>
    <t>ALTAMIRANO UGARTE, MARIA ANTONIETA</t>
  </si>
  <si>
    <t>GUILLEN VDA DE MOREANO, JUSTINA</t>
  </si>
  <si>
    <t>RAMOS GUTIERREZ, JUSTINO</t>
  </si>
  <si>
    <t>CENTENO DE AQUINO, GUILLERMINA</t>
  </si>
  <si>
    <t>PEREIRA BUEZO, BELTRAN</t>
  </si>
  <si>
    <t>MANSILLA MARIÑO, MONICA</t>
  </si>
  <si>
    <t>VALENZUELA BORDA, BACILIDES</t>
  </si>
  <si>
    <t>VARGAS BALDERRAMA, CRISTINA</t>
  </si>
  <si>
    <t>OCAMPO LLANOS, YUDITH MIRIAN</t>
  </si>
  <si>
    <t>LLOCLLA PIPA DE HUAMAN, MAXIMILIANA</t>
  </si>
  <si>
    <t>CASTANÑEDA RIVERA, NICANOR</t>
  </si>
  <si>
    <t>GAMARRA CCAHUANA, ANA</t>
  </si>
  <si>
    <t>HUAMANI JURO, JUANA</t>
  </si>
  <si>
    <t>SALDIVAR PALOMINO, MAXI FABIOLA</t>
  </si>
  <si>
    <t>AGUILAR VILCAS, VICENTE</t>
  </si>
  <si>
    <t>CCAHUANA PEREZ, ANA MARIA</t>
  </si>
  <si>
    <t>HUASHUA CAHUANA, GROVIN</t>
  </si>
  <si>
    <t>GUTIERREZ DE VALENZUELA, AGUSTINA</t>
  </si>
  <si>
    <t>VARGAS TENCO, UVALDINA</t>
  </si>
  <si>
    <t>CRUZ MELENDEZ, ROSARIO</t>
  </si>
  <si>
    <t>HUAMAN GRANDE, MARITZA</t>
  </si>
  <si>
    <t>PALOMINO CERDA, VALENTINA</t>
  </si>
  <si>
    <t>CASTILLO SOTO, HEMILIO</t>
  </si>
  <si>
    <t>LEON CCORAHUA, FIDELIA</t>
  </si>
  <si>
    <t>MINA ZAMALLOA, MAURO CLAUDIO</t>
  </si>
  <si>
    <t>CERVANTES JURO, RENEE</t>
  </si>
  <si>
    <t>RONDAN LLERENA, IGNACIO</t>
  </si>
  <si>
    <t>URPE CARDENAS, ELOCADIA VALENTINA</t>
  </si>
  <si>
    <t>CARDENAS URPE DE MERINO, TERESA</t>
  </si>
  <si>
    <t>MARCA CAVERO, WILFREDO</t>
  </si>
  <si>
    <t>LAURA CARDENAS, JUANA</t>
  </si>
  <si>
    <t>CRUZ CARRASCO, SANDRINA</t>
  </si>
  <si>
    <t>CRUZ RODAS, SALOME</t>
  </si>
  <si>
    <t>ZAMORA BULEJE, CIRILA</t>
  </si>
  <si>
    <t>COAQUIRA MAMANI, HILDAURA</t>
  </si>
  <si>
    <t>HUANCA DE MAMANI, FELICIANA</t>
  </si>
  <si>
    <t>SANTANDER AGUILAR, AGUSTIN</t>
  </si>
  <si>
    <t>DAMIAN CHUMPISUCA, VIRGINIA</t>
  </si>
  <si>
    <t>QUISPE GARRAFA, JESUS</t>
  </si>
  <si>
    <t>PAREJA VALENCIA, FORTUNATA</t>
  </si>
  <si>
    <t>AVENDAÑO RAMOS, LOURDES</t>
  </si>
  <si>
    <t>CRUZ QUISPE, MARIA</t>
  </si>
  <si>
    <t>AYVAR MIRANDA, AUGUSTA</t>
  </si>
  <si>
    <t>CAYLLAHUA DE GUTIERREZ, FAUSTINA</t>
  </si>
  <si>
    <t>CAYLLAHUA SALAZAR, AYDE</t>
  </si>
  <si>
    <t>TORRES HUAMAN, SANTOSA</t>
  </si>
  <si>
    <t>CACERES CHIPA, LORENZA</t>
  </si>
  <si>
    <t>GONZALES CACERES, LUZ NELIDA</t>
  </si>
  <si>
    <t>PAUCAR HUILLCA, CECILIA</t>
  </si>
  <si>
    <t>PUMA ROCCA, BENIRO</t>
  </si>
  <si>
    <t>TORRES QUISPE, CEFERINO</t>
  </si>
  <si>
    <t>MENDOZA MEDINA, RAUL</t>
  </si>
  <si>
    <t>RUIZ PACCO, MAURO</t>
  </si>
  <si>
    <t>SANTE HUANCACURI, AMANDA</t>
  </si>
  <si>
    <t>MAUCAYLLA HUAMAN, HAYDE</t>
  </si>
  <si>
    <t>TORRES PALOMINO, VICTOR FELICIANO</t>
  </si>
  <si>
    <t>ALARCON ROMERO, FELIPE</t>
  </si>
  <si>
    <t>ALARCON CATALAN, FLORENTINA</t>
  </si>
  <si>
    <t>QUINTANA PARDO, ROSALIA</t>
  </si>
  <si>
    <t>ABOLLANEDA HUAMANGUINO, MARIA TERESA</t>
  </si>
  <si>
    <t>HUAMANGUINO CENTENO, VICTORIA</t>
  </si>
  <si>
    <t>SERRANO GUTIERREZ, MARIA JULIA</t>
  </si>
  <si>
    <t>SOTELO BORDA, NIVES</t>
  </si>
  <si>
    <t>HURTADO CHICLLA, MARI LUZ</t>
  </si>
  <si>
    <t>HUAMANI CCAHUANA, LUZBEL</t>
  </si>
  <si>
    <t>CHIRINOS UTANI, MAXIMO</t>
  </si>
  <si>
    <t>HUAYHUAS JIMENEZ, ROSA CARMEN</t>
  </si>
  <si>
    <t>VARGAS CATALAN, JESUS</t>
  </si>
  <si>
    <t>FLORES PEREZ, LIDIA</t>
  </si>
  <si>
    <t>CONTRERAS ROMAN, FLORA</t>
  </si>
  <si>
    <t>BENITES VARGAS, SANTIAGO</t>
  </si>
  <si>
    <t>GONZALES FRANCO, GLORIA</t>
  </si>
  <si>
    <t>LEON URQUIZO, SANTOS CLAUDIO</t>
  </si>
  <si>
    <t>SAAVEDRA ROMAN, SUSANA</t>
  </si>
  <si>
    <t>HUAMAN HUAMAN, NORMA NARCISA</t>
  </si>
  <si>
    <t>CARRION MOREANO, VICTORIA</t>
  </si>
  <si>
    <t>PACCO PALOMINO, RYNA</t>
  </si>
  <si>
    <t>PUMA CHACON, FELIMON</t>
  </si>
  <si>
    <t>LOAIZA FERRO, CIPRIANA</t>
  </si>
  <si>
    <t>BUEZO SAUNE, ROSITA</t>
  </si>
  <si>
    <t>IZQUIERDO MELGAREJO, SANTIAGO</t>
  </si>
  <si>
    <t>PEREZ VERA, ALICIA</t>
  </si>
  <si>
    <t>MEDINA QUISPE, JONATHAN</t>
  </si>
  <si>
    <t>CAYTUIRO CECERES, MARTHA</t>
  </si>
  <si>
    <t>COAQUIRA GOMEZ, MARIA JOAQUINA</t>
  </si>
  <si>
    <t>PANIORA HUAMAN, RONALD HERBERT</t>
  </si>
  <si>
    <t>QUISPE TENCCO, ANGELINO</t>
  </si>
  <si>
    <t>URPE CARDENAS, JUANA CATALINA</t>
  </si>
  <si>
    <t>CARBAJAL CUTIERREZ, NATALIA</t>
  </si>
  <si>
    <t>PRADO ARONES, EDILBERTA</t>
  </si>
  <si>
    <t>PUMAPILLO FLORES, SANTUSA MAURA</t>
  </si>
  <si>
    <t>SERRANO PRADA, ISAIAS</t>
  </si>
  <si>
    <t>CRUZ CESPEDES, MARTIN</t>
  </si>
  <si>
    <t>CCAHUANA PERALTA, FORTUNATA</t>
  </si>
  <si>
    <t>DE LA VEGA MENDOZA DE CHIRINOS, CELIA</t>
  </si>
  <si>
    <t>SANCHEZ VALVERDE, SATURNINA</t>
  </si>
  <si>
    <t>VELASQUEZ TICA, RAUL MAXIMO</t>
  </si>
  <si>
    <t>HUAMANI ROJAS, JULIANA</t>
  </si>
  <si>
    <t>JUAREZ SORIA, FRANCISCO</t>
  </si>
  <si>
    <t>LLACCHUA FRANCO, MARGARITA</t>
  </si>
  <si>
    <t>HILARIO CALLE, EBERTSON</t>
  </si>
  <si>
    <t>CHICCHE PERALTA, AVELIO</t>
  </si>
  <si>
    <t>CAMACHO MATENCIO, MARIA EUGENIA</t>
  </si>
  <si>
    <t>SARMIENTO PERALTA, ABRAHAN</t>
  </si>
  <si>
    <t>ARONE DE LA TORRE, PAULINA</t>
  </si>
  <si>
    <t>CRUZ VELASQUE, MARTA</t>
  </si>
  <si>
    <t>SALAS MADERA, SOFIA</t>
  </si>
  <si>
    <t>MONTES HUAMANI, BACILIA</t>
  </si>
  <si>
    <t>SORNOZA CRUZ, JUDITH</t>
  </si>
  <si>
    <t>ESCALANTE AGUIRRE, CECILIA SALOME</t>
  </si>
  <si>
    <t>SORNOZA CRUZ, LUZ MIRIAM</t>
  </si>
  <si>
    <t>AMARU AYALA, JUSTINA</t>
  </si>
  <si>
    <t>VARGAS GRANDA, VIKY</t>
  </si>
  <si>
    <t>ALARCON VEGA, MARTINA</t>
  </si>
  <si>
    <t>CORTEZ SAAVEDRA, RITA</t>
  </si>
  <si>
    <t>PEREZ CORDOVA, TOMASA</t>
  </si>
  <si>
    <t>ALATA MAMANI, EDMUNDO</t>
  </si>
  <si>
    <t>TEVES GOMEZ, JORGE FLORENCIO</t>
  </si>
  <si>
    <t>GARCIA PASCUAL, GIAN MARCO</t>
  </si>
  <si>
    <t>CUBA TAIPECAHUANA, TANIA</t>
  </si>
  <si>
    <t>SIERRA JURO, ELIZABETH</t>
  </si>
  <si>
    <t>CATALAN SANCHEZ, AYDE</t>
  </si>
  <si>
    <t>COSTILLO LOPEZ, PATRICIA VIANNEY</t>
  </si>
  <si>
    <t>CHIPA PINEDA, JACINTA</t>
  </si>
  <si>
    <t>BATALLANOS BECERRA, YESENIA</t>
  </si>
  <si>
    <t>CCASANI DE ESCALANTE, GREGORIA</t>
  </si>
  <si>
    <t>BALLON SOCA, FREDY</t>
  </si>
  <si>
    <t>LOPEZ MONZON, GREGORIA</t>
  </si>
  <si>
    <t>CALDERON ESPINOZA, SANTUSA</t>
  </si>
  <si>
    <t>CORDOVA CURI, FLORENCIO</t>
  </si>
  <si>
    <t>TAIPE CHIPA, BERNARDA</t>
  </si>
  <si>
    <t>BRAVO TAIPE, LUIS</t>
  </si>
  <si>
    <t>CCONISLLA CCAHUA, HILARIA</t>
  </si>
  <si>
    <t>RIOS LOPEZ, RAUL</t>
  </si>
  <si>
    <t>CONDORI BARRAGAN, MARCELA HONORATA</t>
  </si>
  <si>
    <t>CARRION MONCADA, ADELMA</t>
  </si>
  <si>
    <t>ROMAN CHIPA, KATTY</t>
  </si>
  <si>
    <t>CASAS AEDO, RAUL</t>
  </si>
  <si>
    <t>HUAMAN JULLUNI, MARY LUZ</t>
  </si>
  <si>
    <t>BELLIDO ALIAGA, MARGARITA</t>
  </si>
  <si>
    <t>BACILIO HUAMAN, LUZ MARIA</t>
  </si>
  <si>
    <t>SIERRA HUAMAN, FERNANDO</t>
  </si>
  <si>
    <t>BELLIDO ALIAGA, JUAN CARLOS</t>
  </si>
  <si>
    <t>RAMIREZ DIAZ, JOSE</t>
  </si>
  <si>
    <t>HUAMAN PALOMINO, SONIA</t>
  </si>
  <si>
    <t>CUARESMA MARTINEZ, DELICIA VALENTINA</t>
  </si>
  <si>
    <t>TAPIA OCAÑA, PATROCINIO</t>
  </si>
  <si>
    <t>FLORES PUMAPILLO, CIRIACO</t>
  </si>
  <si>
    <t>CACERES CCOÑISLLA, JUAQUINA</t>
  </si>
  <si>
    <t>MEZA DURAND, PAUILINA</t>
  </si>
  <si>
    <t>AYVAR HURTADO, ELIDA</t>
  </si>
  <si>
    <t>OLIVERA SIERRA, JUAN</t>
  </si>
  <si>
    <t>SANCHEZ HUAMAN, ALICIA</t>
  </si>
  <si>
    <t>CAMACHO RODRIGUEZ, YENNY ROSMERY</t>
  </si>
  <si>
    <t>PINEDA OLIVERA, SILVIA EUGENIA</t>
  </si>
  <si>
    <t>CCOHUA QUISPE, YOLANDA</t>
  </si>
  <si>
    <t>TUIRO DE RAMOS, JULIA</t>
  </si>
  <si>
    <t>ATAHUI NAVIO, BERNARDINO</t>
  </si>
  <si>
    <t>MATEOS MIKE ALMIR, ARTEAGA</t>
  </si>
  <si>
    <t>OLIVERA HUAMANI, GENOVEVA</t>
  </si>
  <si>
    <t>VILLEGAS RAMOS, DANITZA</t>
  </si>
  <si>
    <t>MEDIANO TEVES, PAULINA</t>
  </si>
  <si>
    <t>ORTIZ VARGAS, GENARO</t>
  </si>
  <si>
    <t>SALCEDO HILARES, CIPRIANO</t>
  </si>
  <si>
    <t>VILLEGAS CERVANTES, MARIA</t>
  </si>
  <si>
    <t>GUTIERREZ HUAMANI, CECILIO</t>
  </si>
  <si>
    <t>PEÑA PALOMINO, SONIA</t>
  </si>
  <si>
    <t>TAMBURCO</t>
  </si>
  <si>
    <t>LOAYZA CHAVEZ, TADEO</t>
  </si>
  <si>
    <t>JARA CAMACHO, CARMEN ROSA</t>
  </si>
  <si>
    <t>LAYME ROJAS, ASUNTA</t>
  </si>
  <si>
    <t>PEÑA CUARESMA, PAULINA</t>
  </si>
  <si>
    <t>AGUIRRE ORTIZ, MARCELINA</t>
  </si>
  <si>
    <t>CHAVEZ AZURIN, ROSA.</t>
  </si>
  <si>
    <t>BAUTISTA CAMACHO, CARLOS</t>
  </si>
  <si>
    <t>FLORES JAUREGUI, ANA EUNICI</t>
  </si>
  <si>
    <t>MARQUEZ CAMACHO, HERNAN</t>
  </si>
  <si>
    <t>HUAMANÑAHUI PEÑA, ALEJANDRO</t>
  </si>
  <si>
    <t>AEDO ANAMPA, MAURO</t>
  </si>
  <si>
    <t>BARAZORDA ESPINOZA, ALBERTINA</t>
  </si>
  <si>
    <t>MARQUEZ BAUTISTA, LINO</t>
  </si>
  <si>
    <t>MARQUEZ BAUTISTA, GLADYS</t>
  </si>
  <si>
    <t>ESPINOZA CARBAJAL, VIRGINIA</t>
  </si>
  <si>
    <t>JARA CHICLLA, MARIVEL</t>
  </si>
  <si>
    <t>CAMACHO MARCON, MARIA PERPETUA</t>
  </si>
  <si>
    <t>ACHULLI CORDOVA, GRACIELA</t>
  </si>
  <si>
    <t>QUISPE MUNARES, MARIA YESICA</t>
  </si>
  <si>
    <t>LAIME LOPEZ, PERCY</t>
  </si>
  <si>
    <t>ESCOBAR GARRAFA, JUANA</t>
  </si>
  <si>
    <t>UTANI MOYA, ELSA</t>
  </si>
  <si>
    <t>ACUÑA ARONI, LISBETH</t>
  </si>
  <si>
    <t>VEGA QUISPE, AMADOR</t>
  </si>
  <si>
    <t>ANCCO VARGAS, GREGORIA</t>
  </si>
  <si>
    <t>VILLAFUERTE VALENCIA, CELESTINO</t>
  </si>
  <si>
    <t>SANCHEZ FALCON, ALICIA</t>
  </si>
  <si>
    <t>ROBLES CORTEZ, OLINDA</t>
  </si>
  <si>
    <t>CHIPANA CASTAÑEDA, JUAN BAUTISTA</t>
  </si>
  <si>
    <t>PEREZ VILLARROEL, FORTUNATO</t>
  </si>
  <si>
    <t>RIVAS TAPIA, CIRILO</t>
  </si>
  <si>
    <t>AYQUIPA CENTENO, JUANA BACILIDES</t>
  </si>
  <si>
    <t>PAREJA CHIPA, SILVIA</t>
  </si>
  <si>
    <t>CABALLERO CCASANI DE JURO, FELICTA</t>
  </si>
  <si>
    <t>PAREJA CHIPA, DIANA</t>
  </si>
  <si>
    <t>CERVANTES DE CHIPA, MARIA</t>
  </si>
  <si>
    <t>SAAVEDRA CERVANTES, MARIA LUISA</t>
  </si>
  <si>
    <t>GARCIA GONZALES, LUZMILA</t>
  </si>
  <si>
    <t>PEÑA MEJIA, JESUS ADOLFO</t>
  </si>
  <si>
    <t>RAMOS PALOMINO, EVA</t>
  </si>
  <si>
    <t>PALOMINO LLERENA, JUANA</t>
  </si>
  <si>
    <t>RAMIREZ MALLZA, GAVINO</t>
  </si>
  <si>
    <t>PEÑA MONZON, EPIFANIA</t>
  </si>
  <si>
    <t>RAMIREZ AEDO, LUCILA</t>
  </si>
  <si>
    <t>AEDO ANAMPA, CANDELARIA</t>
  </si>
  <si>
    <t>PEÑA DE CHIPA, LIDIA</t>
  </si>
  <si>
    <t>MEJIA OCHOA, GENARO DANIEL</t>
  </si>
  <si>
    <t>CHIPA CERVANTES, SANTOS</t>
  </si>
  <si>
    <t>SAAVEDRA CERVANTES, DIONISIA</t>
  </si>
  <si>
    <t>PAREJA CHIPA, SHADYA DIANA</t>
  </si>
  <si>
    <t>CHIPA MONZON, MARIA</t>
  </si>
  <si>
    <t>ESPINOZA CACERES, MARISA</t>
  </si>
  <si>
    <t>HUAMANÑAHUI LOPEZ, CARMEN ROSA</t>
  </si>
  <si>
    <t>MALLQUI AEDO, SATURNINA</t>
  </si>
  <si>
    <t>CHIPA PEÑA, SILVIA</t>
  </si>
  <si>
    <t>MEJIA DE PEÑA, ELISA</t>
  </si>
  <si>
    <t>ARREDONDO CHACON, VASILIA</t>
  </si>
  <si>
    <t>CERVANTES DE PALOMINO, MARIA JESUS</t>
  </si>
  <si>
    <t>MEJIA PEÑA, SANTOS</t>
  </si>
  <si>
    <t>CHIPA CAMACHO, GREGORIO</t>
  </si>
  <si>
    <t>PALOMINO DE HUAMAN, ROSA</t>
  </si>
  <si>
    <t>CARBAJAL ALTAMIRANO, JUAN</t>
  </si>
  <si>
    <t>PEDRAZA ORTIZ, LUCIA</t>
  </si>
  <si>
    <t>AEDO DAVALOS, GUMERCINDA</t>
  </si>
  <si>
    <t>ENRIQUEZ SIERRA, NELLY SANTUSA</t>
  </si>
  <si>
    <t>ENRIQUEZ SIERRA, ROSA</t>
  </si>
  <si>
    <t>ORTIZ CHIPA, EXALTACION</t>
  </si>
  <si>
    <t>AYBAR ORTIZ, FLORA</t>
  </si>
  <si>
    <t>SAAVEDRA AEDO, BACILIA</t>
  </si>
  <si>
    <t>MONZON CAMACHO, JACINTA</t>
  </si>
  <si>
    <t>GUTIERREZ ESTRADA, ELISA</t>
  </si>
  <si>
    <t>HUAYLLA GUTIERREZ, EDGAR</t>
  </si>
  <si>
    <t>OJEDA CHULLCA, ESTEFANIA</t>
  </si>
  <si>
    <t>ESPINOZA TAIPE, GREGORIO</t>
  </si>
  <si>
    <t>CRUZ QUISPE, FLORENCIA</t>
  </si>
  <si>
    <t>OCHOA DE BAUTISTA, ZORAIDA</t>
  </si>
  <si>
    <t>PEÑA DE ZAMBRANO, EMILIA</t>
  </si>
  <si>
    <t>PEÑA AYMA DE MENDOZA, PARIA PRESENTACION</t>
  </si>
  <si>
    <t>VARGAS DE GUIZADO, CIRILA</t>
  </si>
  <si>
    <t>QUISPE SAAVEDRA, ISAIAS MIGUEL</t>
  </si>
  <si>
    <t>MALAFAYA HUAYABAN, MARILU</t>
  </si>
  <si>
    <t>AIBAR PEÑA, VICTOR HUGO</t>
  </si>
  <si>
    <t>YUCRA RIVAS, ANSELMA</t>
  </si>
  <si>
    <t>SAAVEDRA CORDOVA, GREGORIA</t>
  </si>
  <si>
    <t>TRUJILLO HANCCO, MARIA</t>
  </si>
  <si>
    <t>VILLEGAS CARBAJAL, VICTORIA</t>
  </si>
  <si>
    <t>BORDA  CRUZ, SILVIA</t>
  </si>
  <si>
    <t>ESPINOZA PINEDO, LUCIA</t>
  </si>
  <si>
    <t>SAAVEDRA CORDOVA, MARIA</t>
  </si>
  <si>
    <t>OJEDA CUSI, ERNESTINA</t>
  </si>
  <si>
    <t>QUINTANA ZEVALLOS, CARMEN ROSA</t>
  </si>
  <si>
    <t>ZAVALLOS SIERRA, IGNACIA</t>
  </si>
  <si>
    <t>USTUA ALLENDE, VALENTINA ADELAIDA</t>
  </si>
  <si>
    <t>VILLAFUERTE ANTEZANA, TOMAS</t>
  </si>
  <si>
    <t>ZEVALLOS LEON, JULIAN</t>
  </si>
  <si>
    <t>MELENDEZ ALLAHUA, WILBER</t>
  </si>
  <si>
    <t>PEÑA CHIPA, WILBER</t>
  </si>
  <si>
    <t>PEREZ SALAS, GABRIELA</t>
  </si>
  <si>
    <t>RIVAS CHAHUILLCO, MANUEL</t>
  </si>
  <si>
    <t>ESPINOZA SILVA, JUAN CARLOS</t>
  </si>
  <si>
    <t>HERMOZA ARREDONDO, CECILIO</t>
  </si>
  <si>
    <t>VARGAS CHACON, UBALDINA</t>
  </si>
  <si>
    <t>ANCCO CASERES, MARIA</t>
  </si>
  <si>
    <t>SILVA MEDINA, VALENTIN</t>
  </si>
  <si>
    <t>BENITES GUISADO, NANCY</t>
  </si>
  <si>
    <t>ALVAREZ CONDORI, ANICETA</t>
  </si>
  <si>
    <t>FLORES OJEDA, MARCELINA</t>
  </si>
  <si>
    <t>PALOMINO CONTRERAS, MAGDALENA</t>
  </si>
  <si>
    <t>ANTEZANA PAREJA, JUAN JORGE</t>
  </si>
  <si>
    <t>ZAMBRANO PALOMINO, FRANCISCA</t>
  </si>
  <si>
    <t>VEGA ZAMBRANO, MIGUEL ANGEL</t>
  </si>
  <si>
    <t>CRUZ CARBAJAL, FRANCISCA</t>
  </si>
  <si>
    <t>SOTO CESPEDES, WILFREDO</t>
  </si>
  <si>
    <t>PALOMINO DE ZAMBRANO, JOSEFINA</t>
  </si>
  <si>
    <t>RIVAS DAVALOS, CATALINA</t>
  </si>
  <si>
    <t>CHACON CARRASCO, MEY</t>
  </si>
  <si>
    <t>JARA AVALOS, MARIO</t>
  </si>
  <si>
    <t>ALARCON CAMACHO, MARIA TERESA</t>
  </si>
  <si>
    <t>CASTILLO ESTRADA, ELVA</t>
  </si>
  <si>
    <t>ESPINOZA GONZALES, FREDY</t>
  </si>
  <si>
    <t>SANCHEZ HUAMAN, SAIDA</t>
  </si>
  <si>
    <t>ALVAREZ CAMACHO, MARCELINA</t>
  </si>
  <si>
    <t>CHACON GARCIA, ROQUE</t>
  </si>
  <si>
    <t>CHACON GARCIA, ROSENDO</t>
  </si>
  <si>
    <t>SIERRA DE CAMACHO, TERESA</t>
  </si>
  <si>
    <t>ALBARADO FARFAN, LEONILDA</t>
  </si>
  <si>
    <t>HUILLCAHUA BARRETON, NIEVES</t>
  </si>
  <si>
    <t>GARCIA RIVAS, SANTOSA</t>
  </si>
  <si>
    <t>ESPINOZA RIVAS, CELIA</t>
  </si>
  <si>
    <t>RAMOS CRIALES, EUGENIO</t>
  </si>
  <si>
    <t>QUISPE CRIALES, EULOGIA</t>
  </si>
  <si>
    <t>ARREDONDO RIVAS, JOSE</t>
  </si>
  <si>
    <t>PALOMINO AEDO, ALEJANDRA</t>
  </si>
  <si>
    <t>RAMOS CRIALES, SIMON</t>
  </si>
  <si>
    <t>RAMOS CRIALES, SANTOSA</t>
  </si>
  <si>
    <t>BENITES BAUTISTA, MIGUEL</t>
  </si>
  <si>
    <t>ARREDONDO HUACHACA, LEONARIA</t>
  </si>
  <si>
    <t>LIBON ANCA, LUCIA</t>
  </si>
  <si>
    <t>VALER CARRION, MARIA CONSUELO</t>
  </si>
  <si>
    <t>CASTAÑEDA VILLAFANE, FLORENTINO</t>
  </si>
  <si>
    <t>SIERRA TUERO, MARCELINA</t>
  </si>
  <si>
    <t>JURO VARGAS, GREGORIA</t>
  </si>
  <si>
    <t>MENDOZA VALVERDE, ANTONIA</t>
  </si>
  <si>
    <t>MALLQUI ANAMPA, CORINA</t>
  </si>
  <si>
    <t>FLORES ESCALANTE, WALTER</t>
  </si>
  <si>
    <t>TENCCO HURTADO, GLADYS YONE</t>
  </si>
  <si>
    <t>MENDOZA PUMAPILLO, ROSA CONCEPCION</t>
  </si>
  <si>
    <t>RUPAYLLA HUAMAN, LUISA</t>
  </si>
  <si>
    <t>GUTIERREZ ESTRADA, MARCOS</t>
  </si>
  <si>
    <t>CHARA ACHULLI, NICOLAS</t>
  </si>
  <si>
    <t>PONCE SOTO, ANACLETO</t>
  </si>
  <si>
    <t>CAMACHO PAUCCAR, EDGAR ARMANDO</t>
  </si>
  <si>
    <t>OCHOA VARGAS, MARIA ELENA</t>
  </si>
  <si>
    <t>CARDENAS SERRATO, MAXI</t>
  </si>
  <si>
    <t>CHUMPISUCA DAMIAN, JULIA</t>
  </si>
  <si>
    <t>PAMPAÑAUPA MOREL, SANTOSA</t>
  </si>
  <si>
    <t>SOTELO MARTINEZ, LORENZA</t>
  </si>
  <si>
    <t>MEDINA PALOMINO, LOURDES</t>
  </si>
  <si>
    <t>CHOQUE CONDORI, NARDA</t>
  </si>
  <si>
    <t>VILLARROEL HUAMAN, GUILLERMINA</t>
  </si>
  <si>
    <t>HUYLLA DE OSCCO, FLORENCIA</t>
  </si>
  <si>
    <t>VILLAFUERTE RAYME, ROSARIO</t>
  </si>
  <si>
    <t>RAMOS CALLE, JESUSA</t>
  </si>
  <si>
    <t>CARBAJAL ROJAS, MERY</t>
  </si>
  <si>
    <t>GARFIAS VILLEGAS, CLAUDIO</t>
  </si>
  <si>
    <t>ARONI ROBLES, ELISA</t>
  </si>
  <si>
    <t>OVALLE GUISADO, GENARA</t>
  </si>
  <si>
    <t>SANCHEZ HUAMAN, YSISORA</t>
  </si>
  <si>
    <t>AYERBE SOTO, LUISA</t>
  </si>
  <si>
    <t>AZURIN ZEVALLOS, ADELA</t>
  </si>
  <si>
    <t>LAGUNA GOMEZ, NATIVIDAD</t>
  </si>
  <si>
    <t>MEZA CCORAHUA, HONORATA BENEDICTA</t>
  </si>
  <si>
    <t>PEÑA TAPIA, HERACLIDES</t>
  </si>
  <si>
    <t>PALOMINO CEVALLOS, SIMON</t>
  </si>
  <si>
    <t>PALOMINO RAMOS, INES</t>
  </si>
  <si>
    <t>FERREL LUNA, JOSE</t>
  </si>
  <si>
    <t>BARRIENTOS VALENZUELA, SEBASTIAN</t>
  </si>
  <si>
    <t>CRUZ QUISPE, RENEE</t>
  </si>
  <si>
    <t>SEQUEIROS BAZAN, SATURNINO</t>
  </si>
  <si>
    <t>ZEVALLOS CARDENAS, FELICIANA</t>
  </si>
  <si>
    <t>OSCCO QUISPE, CARMEN ROSA</t>
  </si>
  <si>
    <t>SERRANO PERALTA, RAYMUNDO</t>
  </si>
  <si>
    <t>AROSTE AGUIRRE, PERCY</t>
  </si>
  <si>
    <t>MAUCALLA OSCCO, LUZ MERCEDES</t>
  </si>
  <si>
    <t>SERRANO HUAMANI, JESUS ALFREDO</t>
  </si>
  <si>
    <t>CASTAÑEDA CONCHA, AUGUSTO</t>
  </si>
  <si>
    <t>CHAVEZ TAPIA, VIRGINIA</t>
  </si>
  <si>
    <t>LOPEZ CHOQUECAHUANA, LUIS</t>
  </si>
  <si>
    <t>DONAYRE ALVITES, BRAULIO</t>
  </si>
  <si>
    <t>SAAVEDRA CHICLLA, CECILIO</t>
  </si>
  <si>
    <t>DURAND ARONI, JENNIFFER</t>
  </si>
  <si>
    <t>MARIN AIMARA, CANDELARIA</t>
  </si>
  <si>
    <t>AGUILAR HUAMAN, MAURICIA</t>
  </si>
  <si>
    <t>HUILLCAHUA CENTENO, FELIX MARGARO</t>
  </si>
  <si>
    <t>CHIPAYO BERMUDEZ, TEOFILA</t>
  </si>
  <si>
    <t>CAMACHO PEÑA, IGNACIA</t>
  </si>
  <si>
    <t>CRUZ CRUCINTA, FERNANDINA</t>
  </si>
  <si>
    <t>MINA AYMARA, JUANA</t>
  </si>
  <si>
    <t>MAMANI DE CARRAFA, EVARISTA</t>
  </si>
  <si>
    <t>SERRANO LUNA, LUCIO</t>
  </si>
  <si>
    <t>ROSELL SANCHEZ, JESICA</t>
  </si>
  <si>
    <t>SALCEDO ARCE, SEBASTIANA</t>
  </si>
  <si>
    <t>HUAMANI CANCHASTO, JORGE</t>
  </si>
  <si>
    <t>SERRANO LEON, RAYMUNDO</t>
  </si>
  <si>
    <t>MUÑOZ WILLCAS, PABLO</t>
  </si>
  <si>
    <t>SOTELO RIOS, HILARIA</t>
  </si>
  <si>
    <t>VEGA LLOCLLA, ANGELICA</t>
  </si>
  <si>
    <t>CALLE DONAIRES, HENRY</t>
  </si>
  <si>
    <t>BRAVO DE PEREIRA, MARIA MAGDALENA</t>
  </si>
  <si>
    <t>AGUIRRE NUÑEZ, APARICIO</t>
  </si>
  <si>
    <t>RAMOS MENDOZA, INOCENCIA LORENZA</t>
  </si>
  <si>
    <t>YÑIGO CCASANI, LILY</t>
  </si>
  <si>
    <t>ORE HUANCA, VICTORIA</t>
  </si>
  <si>
    <t>ARUNI APAZA DE POCCO, VIRGINIA</t>
  </si>
  <si>
    <t>CATALAN ESPINOZA, AUGUSTA</t>
  </si>
  <si>
    <t>CORTEZ CARRION DE MENA, CECILIA</t>
  </si>
  <si>
    <t>HUACCHARAQUI LLAMCCAYA, IGNACIO</t>
  </si>
  <si>
    <t>MENA AROSTE, SOFIA</t>
  </si>
  <si>
    <t>FALCON AROSTI, TOMASA VIRGINIA</t>
  </si>
  <si>
    <t>SARABIA ALVARASIN, DOLORES</t>
  </si>
  <si>
    <t>CHICLLA ESCOBAL, AQUILINO</t>
  </si>
  <si>
    <t>QUINTANA HILARES, SABINO</t>
  </si>
  <si>
    <t>DURAN FERRO, MARIA ANGELICA</t>
  </si>
  <si>
    <t>GOMEZ COAQUIRA, NATALIO</t>
  </si>
  <si>
    <t>CHAVEZ BLANCO, SERAFINA</t>
  </si>
  <si>
    <t>PANIURA SAMATA, VISITACION</t>
  </si>
  <si>
    <t>BOZA SALCEDO, NILDA</t>
  </si>
  <si>
    <t>DAMIAN SANCHEZ, ELISA</t>
  </si>
  <si>
    <t>GONZALES GUTIERREZ, ALEJANDRINA</t>
  </si>
  <si>
    <t>TOMAYLLA CONTRERAS, RAUL</t>
  </si>
  <si>
    <t>FLORES ARONI, NATALI</t>
  </si>
  <si>
    <t>SAAVEDRA MARTINEZ, LEANDRO</t>
  </si>
  <si>
    <t>HERHUAY AGUIRRE, RUTH ELIZABETH</t>
  </si>
  <si>
    <t>MAMANI HUANCA, RUFINA</t>
  </si>
  <si>
    <t>DONAIRES FLORES, RAUL</t>
  </si>
  <si>
    <t>MORALES CRUZ DE AEDO, LUZMILA</t>
  </si>
  <si>
    <t>HURTADO ARONE, RAMON</t>
  </si>
  <si>
    <t>AMARO PUMAPILLO, JUSTINA</t>
  </si>
  <si>
    <t>MUNARES DE CASTRO, MERCEDES</t>
  </si>
  <si>
    <t>MOTTA ROJAS, WALTER</t>
  </si>
  <si>
    <t>GARCIA RAMOS, IGNACIA</t>
  </si>
  <si>
    <t>SARMIENTO TELLO DE OJEDA, CARMELA</t>
  </si>
  <si>
    <t>HUAMANI MELGAREJO, JUSTINO</t>
  </si>
  <si>
    <t>FLORES CHIPANA, ISABEL</t>
  </si>
  <si>
    <t>TRISTAN CRUZ, SAIDA</t>
  </si>
  <si>
    <t>CONDORI CHURA, VALENTIN</t>
  </si>
  <si>
    <t>PORTILLO CAMACHO, VILMA</t>
  </si>
  <si>
    <t>CERVANTES PEÑA, HERMENEGILDA</t>
  </si>
  <si>
    <t>DAMIAN CCASANI, MAXIMILIANA</t>
  </si>
  <si>
    <t>CAMACHO MONZON, MAURA</t>
  </si>
  <si>
    <t>TAPIA CABALLERO, NICANOR</t>
  </si>
  <si>
    <t>CACERES TAPIA, JEHNDIE</t>
  </si>
  <si>
    <t>CARRASCO DE HUAMANI, BIBIANA</t>
  </si>
  <si>
    <t>DURAND HUANACO, ANA</t>
  </si>
  <si>
    <t>HUARACA MORA, LUCIO</t>
  </si>
  <si>
    <t>HUAMANÑAHUI CABALLERO, RICARDINA</t>
  </si>
  <si>
    <t>SAAVEDRA HUAMANÑAHUI, ROSA</t>
  </si>
  <si>
    <t>UGARTE LEON, ELIZABETH</t>
  </si>
  <si>
    <t>PILLCO ROJAS, GENOVEVA</t>
  </si>
  <si>
    <t>GUTIERREZ RIVAS, MARIA ANGELICA</t>
  </si>
  <si>
    <t>CESPEDES PEREYRA, EVELIN</t>
  </si>
  <si>
    <t>TICONA RAMOS, BONIFACIA JULIA</t>
  </si>
  <si>
    <t>CCAIHUARI HUAMANÑAHUI, LEOCADIA</t>
  </si>
  <si>
    <t>OSORIO CONDORI, NELLY</t>
  </si>
  <si>
    <t>ALVAREZ CAMACHO, ANTONIO</t>
  </si>
  <si>
    <t>SANCHEZ PALOMINO, ROSA SANTOSA</t>
  </si>
  <si>
    <t>BAUTISTA OCHOA, JULIAN</t>
  </si>
  <si>
    <t>CASTRO RAMOS, GILBERT</t>
  </si>
  <si>
    <t>WARTON CARRASCO, JOSE</t>
  </si>
  <si>
    <t>NARVAEZ VERA, AGUSTINA</t>
  </si>
  <si>
    <t>AREVALO CARDENAS, IVONY</t>
  </si>
  <si>
    <t>CARBAJAL PEÑA, JUAN INOSENCIO</t>
  </si>
  <si>
    <t>ESPINOZA CARBAJAL, CRISTINA</t>
  </si>
  <si>
    <t>CARLIN RAMOS, VIRGINIA</t>
  </si>
  <si>
    <t>MELENDEZ PEREZ, EMPERATRIZ</t>
  </si>
  <si>
    <t>MELENDEZ VILLEGAS, JULIO</t>
  </si>
  <si>
    <t>SALAS CHAVEZ, ROSAURA</t>
  </si>
  <si>
    <t>CHIPANA CHIPA, SABINA</t>
  </si>
  <si>
    <t>ZUZUNAGA MONZON, PERCY</t>
  </si>
  <si>
    <t>HUAMANÑAHUI SANCHEZ, JUANA</t>
  </si>
  <si>
    <t>UBALDE SAUÑE, DAVID</t>
  </si>
  <si>
    <t>BEDIA FERRO, GUADALUPE</t>
  </si>
  <si>
    <t>MARTINEZ SOTAYA VDA. DE GUZMAN, DOLORES</t>
  </si>
  <si>
    <t>PECEROS HUILLCA, GUILLERMA</t>
  </si>
  <si>
    <t>MARTINEZ HUAMAN, JUAN</t>
  </si>
  <si>
    <t>CASTILLO ESTRADA, JUANA</t>
  </si>
  <si>
    <t>QUINTANA CAMERO, SILVIA</t>
  </si>
  <si>
    <t>HILARIO RAMOS, NICOLASA</t>
  </si>
  <si>
    <t>HUACHACA CHIPA, ANTONIO</t>
  </si>
  <si>
    <t>CAMACHO DE HUACHACA, JULIA</t>
  </si>
  <si>
    <t>ARTEAGA VILLEGAS, LUCILA</t>
  </si>
  <si>
    <t>GARFIAS VERA, SANTOS</t>
  </si>
  <si>
    <t>ARAGON CAMACHO, MARI LUZ</t>
  </si>
  <si>
    <t>BUSTOS HUAMANI, JUANA</t>
  </si>
  <si>
    <t>CHIPANA HILARES, VIRGINIA</t>
  </si>
  <si>
    <t>RIVERA CAJAMARCA, SONIA</t>
  </si>
  <si>
    <t>HILARES HURTADO, GIL SABINO</t>
  </si>
  <si>
    <t>MATEOS TRUJILLO, FRANCISCO</t>
  </si>
  <si>
    <t>AYQUIPA TOMAYLLA, MELITON</t>
  </si>
  <si>
    <t>BACA CORONADO, VICTOR</t>
  </si>
  <si>
    <t>RAMOS ANAMPA, SATURNA</t>
  </si>
  <si>
    <t>SANABRIA PARCCO, CACIANO</t>
  </si>
  <si>
    <t>CASTRO SAMATA, MARIA TERESA</t>
  </si>
  <si>
    <t>RAMOS PEÑA, URBANITA</t>
  </si>
  <si>
    <t>MONZON TORRES, SUSANA</t>
  </si>
  <si>
    <t>LARA YUTO, MARIA</t>
  </si>
  <si>
    <t>HURTADO GUTIERREZ, NELY</t>
  </si>
  <si>
    <t>PORTILLA CHICLLA, ADELA</t>
  </si>
  <si>
    <t>VARGAS ANCCO, OSCAR</t>
  </si>
  <si>
    <t>AYQUIPA ROSAS, BERTHA</t>
  </si>
  <si>
    <t>PAMPAS URRUTIA, JUAN</t>
  </si>
  <si>
    <t>HUILLCAHUA ZAVALA, MELCHOR</t>
  </si>
  <si>
    <t>CONTRERAS PANIORA, ZENOBIA</t>
  </si>
  <si>
    <t>HUAMAN CONTRERAS, ZACARIAS</t>
  </si>
  <si>
    <t>ANAMPA QUISPE, ASUNTA</t>
  </si>
  <si>
    <t>LLACTAHUAMANI HUACHACA, JUANA DOROTEA</t>
  </si>
  <si>
    <t>CRUZ CARRASCO, DELIA</t>
  </si>
  <si>
    <t>HUILLCAHUA ZAVALA, SUSANA</t>
  </si>
  <si>
    <t>CCASA ÑAHUE, EXALTACION</t>
  </si>
  <si>
    <t>HUAMAN HUALLQUIHUA, LUCIA</t>
  </si>
  <si>
    <t>MOLERO AYQUIPA, ANTONIO</t>
  </si>
  <si>
    <t>CABRERA BORDA, SERGIO</t>
  </si>
  <si>
    <t>FLORES MINA, DIMAS BRAULIO</t>
  </si>
  <si>
    <t>UTANI SUEL, NORA</t>
  </si>
  <si>
    <t>VARGAS CCOYURE, AURELIA</t>
  </si>
  <si>
    <t>VALENZUELA COELLO, ADRIEL LEONIDAS</t>
  </si>
  <si>
    <t>CARRASCO MENDOZA, EMETERIO</t>
  </si>
  <si>
    <t>QUISPE HUANACO, SULLY ELAINE</t>
  </si>
  <si>
    <t>VALENCIA LEON, MARILUZ</t>
  </si>
  <si>
    <t>HILARES HURTADO, YESICA</t>
  </si>
  <si>
    <t>MINAURO VEGA, EDISON</t>
  </si>
  <si>
    <t>PEDRAZA MESARES, DINA</t>
  </si>
  <si>
    <t>CARDENAS ROMERO, SANTOS VICTOR</t>
  </si>
  <si>
    <t>ORIHUELA CARRION, YOVANA</t>
  </si>
  <si>
    <t>OSCCO CASTRO, SATURNINO</t>
  </si>
  <si>
    <t>QUISPE BARRIENTOS, JAIME</t>
  </si>
  <si>
    <t>GONZALES ZAMORA, ANASTACIA</t>
  </si>
  <si>
    <t>PEREZ LAGUNA, ESTEFA</t>
  </si>
  <si>
    <t>SAVERDRA DURAND, JESUS</t>
  </si>
  <si>
    <t>GONZALES LOPEZ, TOMASA</t>
  </si>
  <si>
    <t>VALETIN CCARHUASLLA, BENEDICTA</t>
  </si>
  <si>
    <t>PEREZ SALAZAR, UBALDINA</t>
  </si>
  <si>
    <t>HUAMANI ROJAS, ANTONIA</t>
  </si>
  <si>
    <t>HILARES MONZON, FELIX</t>
  </si>
  <si>
    <t>HUAMAN DE CARRASCO, FELICIANA</t>
  </si>
  <si>
    <t>FLORES QUISPE, GILBER</t>
  </si>
  <si>
    <t>BENITO EMILIANO, PARCCO</t>
  </si>
  <si>
    <t>GUIZADO DE CONTRERAS, NARCISA</t>
  </si>
  <si>
    <t>MEJIA PERALTA, KARINA</t>
  </si>
  <si>
    <t>FLORES VARGAS, MARGOT</t>
  </si>
  <si>
    <t>ROBLES MATUTE, FILOMENA</t>
  </si>
  <si>
    <t>VELASQUE PAMPAÑAUPA, FELICITAS</t>
  </si>
  <si>
    <t>AGUILAR HUAMAN, ASUNTA</t>
  </si>
  <si>
    <t>BERNAOLA FRANCO, NANCY</t>
  </si>
  <si>
    <t>CRUZ DE MELENDEZ, VICTORIA</t>
  </si>
  <si>
    <t>AQUINO CENTENO, DORIS</t>
  </si>
  <si>
    <t>MEZA CUARESMA, LUCAS</t>
  </si>
  <si>
    <t>CARRASCO HUAMAN, HILDA</t>
  </si>
  <si>
    <t>SANCHEZ ÑAHUI, MARTHA</t>
  </si>
  <si>
    <t>BARRETON HUILLCAHUA, SERGIO</t>
  </si>
  <si>
    <t>ALANYA CUSIHUAMAN, CECILIA</t>
  </si>
  <si>
    <t>ESCOBAR RUIZ, NILDA</t>
  </si>
  <si>
    <t>OYOLA PAUCCAR, PABLO</t>
  </si>
  <si>
    <t>MAMANI MUÑOZ, ELSA ANGELICA</t>
  </si>
  <si>
    <t>HUAMANI SERRANO, FRANCISCA</t>
  </si>
  <si>
    <t>QUISPE CHAVEZ, MARUJA</t>
  </si>
  <si>
    <t>CRUZ ESCALANTE, BEATRIZ</t>
  </si>
  <si>
    <t>CAMERO CHIRINOS, HECTOR</t>
  </si>
  <si>
    <t>CARRASCO MIRANDA, RUMALDA</t>
  </si>
  <si>
    <t>BALLON HUALLPA, ALBERTO</t>
  </si>
  <si>
    <t>TAYPE MENDOZA, MARGARITA</t>
  </si>
  <si>
    <t>CASTAÑEDA SILVA, ROSA</t>
  </si>
  <si>
    <t>CESPEDES CONTRERAS, ISAIAS</t>
  </si>
  <si>
    <t>RIOS DE FALCON, DEMETRIA</t>
  </si>
  <si>
    <t>RODRIGUEZ CARIRE, SUSANA</t>
  </si>
  <si>
    <t>INCA SARAYASI, ALICIA</t>
  </si>
  <si>
    <t>HUARHUA VEGA, MARI LUZ</t>
  </si>
  <si>
    <t>VARGAS QUISPE, FLOR MARIA</t>
  </si>
  <si>
    <t>CRUZ SANTI, SAHADAN</t>
  </si>
  <si>
    <t>HUANCAHUIRE HUAMAN, AURELIO</t>
  </si>
  <si>
    <t>MENDOZA PEÑA, ALEJANDRO</t>
  </si>
  <si>
    <t>CHAVEZ TUMBA, VICTORIA</t>
  </si>
  <si>
    <t>CACERES CANDELA, ROSALIA</t>
  </si>
  <si>
    <t>DORREGARAY OTERO, EDUARDO</t>
  </si>
  <si>
    <t>LUNA ROMERO, YUDISA</t>
  </si>
  <si>
    <t>FLORES VARGAS, REYNALDO</t>
  </si>
  <si>
    <t>VILLANUEVA SALINAS, MARGARITA</t>
  </si>
  <si>
    <t>CHAVEZ FUENTES, JULIA</t>
  </si>
  <si>
    <t>SINCE GOMEZ, ROSA</t>
  </si>
  <si>
    <t>SAAVEDRA ROMAN, CECILIO</t>
  </si>
  <si>
    <t>MOREANO CONDORI, ELIZABETH LEONOR</t>
  </si>
  <si>
    <t>LOAIZA HUAMAN, CIRILO</t>
  </si>
  <si>
    <t>LOAYZA VELASQUE, MODESTO</t>
  </si>
  <si>
    <t>ALARCON PEDRAZA, DEMETRIO</t>
  </si>
  <si>
    <t>MENDOZA AYMARA, NELLY</t>
  </si>
  <si>
    <t>ARONI SEQUEIROS, ALICIA</t>
  </si>
  <si>
    <t>ARONE SEQUEIROS, CARMEN ROSA</t>
  </si>
  <si>
    <t>ZEVALLOS CCONISLLA, EUSEBIO</t>
  </si>
  <si>
    <t>CAMACHO CARDENAS, VICTORIA</t>
  </si>
  <si>
    <t>CCARHUAS DE LIZARME, ANGELICA</t>
  </si>
  <si>
    <t>CRUZ PEDRAZA, SINFOROSA</t>
  </si>
  <si>
    <t>SOTELO CHICLLA, PASCUAL</t>
  </si>
  <si>
    <t>DIPAS PEDRAZA, EFRAIN</t>
  </si>
  <si>
    <t>HUAMANÑAHUI UNZUETA, MARCELINA</t>
  </si>
  <si>
    <t>VARGAS ALTAMIRANO, MAGDALENA</t>
  </si>
  <si>
    <t>CHOCLLO VALDERRAMA, SANTOSA</t>
  </si>
  <si>
    <t>LLERENA DE VILLAFUERTE, CECILIA</t>
  </si>
  <si>
    <t>ROBLES PICHIHUA, ELIZABETH</t>
  </si>
  <si>
    <t>MEDRANO NORIEGA, DIONISIA</t>
  </si>
  <si>
    <t>VILLAFUERTE MEDINA, DONATO</t>
  </si>
  <si>
    <t>VILLAFUERTE CORDOVA, LIBORIO</t>
  </si>
  <si>
    <t>CORDOVA PAMOLINO, MODESTA</t>
  </si>
  <si>
    <t>LLAMOCA DEL CASTILLO, VICTOR</t>
  </si>
  <si>
    <t>ESTRADA PEÑA, CIRILA</t>
  </si>
  <si>
    <t>VILLAFUERTE CORDOBA, LUISA</t>
  </si>
  <si>
    <t>GUTIERREZ RAMOS, BENEDICTO</t>
  </si>
  <si>
    <t>RAMOS DE CARDENAS, NIEVES</t>
  </si>
  <si>
    <t>CORDOVA ATAHUE, VALVINA</t>
  </si>
  <si>
    <t>ANAMPA PALOMINO, CARLOTA</t>
  </si>
  <si>
    <t>SILVA CARRION, NICOLAS</t>
  </si>
  <si>
    <t>SILVA OSCCO, CARMEN</t>
  </si>
  <si>
    <t>PEÑA CAMACHO, FAUSTO</t>
  </si>
  <si>
    <t>PEÑA PEREZ, ERNESTINA</t>
  </si>
  <si>
    <t>SILVA LLOCLLA, LUCIA</t>
  </si>
  <si>
    <t>CORDOVA BLANCO, MAXIMILIANO</t>
  </si>
  <si>
    <t>VALDERRAMA CARDENAS, RUTH</t>
  </si>
  <si>
    <t>HUARCAYA VELASQUE, JOSE MARTIN</t>
  </si>
  <si>
    <t>MARTINEZ CRUZ, SUSANA</t>
  </si>
  <si>
    <t>AYMARA CAMACHO, EMETERIO</t>
  </si>
  <si>
    <t>GUTIERREZ CAMACHO, NICANOR</t>
  </si>
  <si>
    <t>CARRASCO GUILLEN, ANGELICA</t>
  </si>
  <si>
    <t>HERRERA LAYME, YESICA</t>
  </si>
  <si>
    <t>HUYHUA HUAMANI, JUANA</t>
  </si>
  <si>
    <t>CUARESA CARDENAS, VICENTE</t>
  </si>
  <si>
    <t>ALARCON ANAMPA, HERMELINDA</t>
  </si>
  <si>
    <t>CCORAHUA TORRES, DIOMEDES</t>
  </si>
  <si>
    <t>LIMA ALZAMORA, HONORATA</t>
  </si>
  <si>
    <t>CARRASCO MICHCAPACCHUA, MARCELO</t>
  </si>
  <si>
    <t>CHIRINOS ESCALANTE, MERCEDES</t>
  </si>
  <si>
    <t>CHIRINOS CRUZ, GREGORIO</t>
  </si>
  <si>
    <t>ZULOAGA MELENDEZ, PORFIRIO</t>
  </si>
  <si>
    <t>PEREZ TORRES, MARIO VICENTE</t>
  </si>
  <si>
    <t>PEREZ DE CCAHUANA, LEOCADIA</t>
  </si>
  <si>
    <t>CHACON VELDEIGLESIAS, EXALTACION</t>
  </si>
  <si>
    <t>ALTAMIRANO LEON, TERESA</t>
  </si>
  <si>
    <t>ACHULLI YUCRA, NANCY</t>
  </si>
  <si>
    <t>ESPINOZA BORDA, TOTIBIO</t>
  </si>
  <si>
    <t>PICONA HUAMANÑAHUI, CRISTINA</t>
  </si>
  <si>
    <t>ALVAREZ ESCALANTE, FLORENCIA</t>
  </si>
  <si>
    <t>CHOQUE SOTO, GUIDO</t>
  </si>
  <si>
    <t>GARFIAS ESTRADA, CIRILO</t>
  </si>
  <si>
    <t>PEREZ ESPINOZA, JUANA MARUJA</t>
  </si>
  <si>
    <t>CCAYHUARI MALLQUI, ALVINA</t>
  </si>
  <si>
    <t>ANAMARIA FELIX, ESTHER</t>
  </si>
  <si>
    <t>YUPANQUI PUMAPILLO, IRMA</t>
  </si>
  <si>
    <t>SALAS ESTRADA, GABRIEL PABLO</t>
  </si>
  <si>
    <t>GUZMAN CANDIA, PRIMITIVA</t>
  </si>
  <si>
    <t>HUAMAN LLOCCLLA, MARIBEL</t>
  </si>
  <si>
    <t>LAGUNA RODRIGUES, JILMER JHON</t>
  </si>
  <si>
    <t>CATALAN QUISPE, ROSA MARIA</t>
  </si>
  <si>
    <t>PEREZ MARTINEZ, GIOVANA</t>
  </si>
  <si>
    <t>CCOYORI SOPA, ROSA MARIA</t>
  </si>
  <si>
    <t>RAYME QUINTANILLA, VICENTE</t>
  </si>
  <si>
    <t>TIICA OVALLE, JAIME</t>
  </si>
  <si>
    <t>FERNANDEZ MENDOZA, CIPRIAN</t>
  </si>
  <si>
    <t>ANAMPA CABALLERO, BRIGIDA</t>
  </si>
  <si>
    <t>CHACON VARGAS, YESSICA</t>
  </si>
  <si>
    <t>VELASQUE PAMPAÑAUPA, SANTOSA SEGUNDINA</t>
  </si>
  <si>
    <t>MENDIZABAL MALLQUE, CIRILO</t>
  </si>
  <si>
    <t>OCHOA GUTIERREZ, JUANA</t>
  </si>
  <si>
    <t>CCASANI PUMAPILLO, ANASTACIO</t>
  </si>
  <si>
    <t>HUILLCAHUA BORDA, MARCELINA</t>
  </si>
  <si>
    <t>HUACHACA HUAMANÑAHUI, TORIBIA</t>
  </si>
  <si>
    <t>ARENAS LLANCAY, PASCUAL</t>
  </si>
  <si>
    <t>OCHOA ESPINOZA, YHENY ANGELA</t>
  </si>
  <si>
    <t>CAMACHO ZEVALLOS, GUILLERMO</t>
  </si>
  <si>
    <t>ESTRADA SULLCA, FAUSTINO</t>
  </si>
  <si>
    <t>IPENZA GOMEZ, DORIS  PAULINA</t>
  </si>
  <si>
    <t>SANCHEZ DE BARRIOS, ANTONIA</t>
  </si>
  <si>
    <t>CCERARE HUANCA, FORTUNATO</t>
  </si>
  <si>
    <t>VERA RETAMOSO, JUAN</t>
  </si>
  <si>
    <t>VELASQUE COLLAO, JUSTO</t>
  </si>
  <si>
    <t>ORTEGA BAUTISTA, SEVERIANO</t>
  </si>
  <si>
    <t>RETAMOSO BAUTISTA, TORIBIA</t>
  </si>
  <si>
    <t>SIERRA SAAVEDRA DE VALDARRAGO, TEODORA</t>
  </si>
  <si>
    <t>SALAS CUBARRUBIAS, JULIAN</t>
  </si>
  <si>
    <t>CHICLLA TORRES, MARIANO</t>
  </si>
  <si>
    <t>CARRASCO FLORES, LUISA</t>
  </si>
  <si>
    <t>CHICLLA MENDOZA, GIRALDO</t>
  </si>
  <si>
    <t>CHIPANA ESPINOZA, MERCEDES</t>
  </si>
  <si>
    <t>ARIAS SALGADO, JUDITH</t>
  </si>
  <si>
    <t>OSNAYO AGUILAR, MAXIMILIANA</t>
  </si>
  <si>
    <t>LOPEZ HUAMANÑAHUI, DINA</t>
  </si>
  <si>
    <t>DAMIAN ERASMO, CHUMPISUCA</t>
  </si>
  <si>
    <t>CARRION OLIVARES, SANTIAGO</t>
  </si>
  <si>
    <t>CARRION CERVANTES, GERMAN</t>
  </si>
  <si>
    <t>CERVANTES HUAMANI, CIRILA</t>
  </si>
  <si>
    <t>VILLEGAS TAIPE, JUSTINA</t>
  </si>
  <si>
    <t>SALAS TRUJILLO, YRMA</t>
  </si>
  <si>
    <t>JURO TORRES, MARITA</t>
  </si>
  <si>
    <t>OLIVARES OLIVERA, EULOGIA</t>
  </si>
  <si>
    <t>SIERRA HUAMAN, MARIA</t>
  </si>
  <si>
    <t>DOMINGUEZ JURO, JULIA</t>
  </si>
  <si>
    <t>CASAS GONZALEZ, ALFONSINA</t>
  </si>
  <si>
    <t>TORRES JURO, SABINA</t>
  </si>
  <si>
    <t>HURTADO CRUZ, ESTEBAN</t>
  </si>
  <si>
    <t>HUAMANI MONZON, GILLERMINA</t>
  </si>
  <si>
    <t>TUIRO CERVANTES, ANTONIA</t>
  </si>
  <si>
    <t>TORRES JURO, LUCIO</t>
  </si>
  <si>
    <t>CASTILLO SUEL, MARI LUZ</t>
  </si>
  <si>
    <t>LAURA CARDENAS, VIRGINIA</t>
  </si>
  <si>
    <t>ROMAN SOPANTA, MEDEY</t>
  </si>
  <si>
    <t>CARRASCO RIOS, ANTONIO</t>
  </si>
  <si>
    <t>OCAMPO CARRION, CIRILO</t>
  </si>
  <si>
    <t>PANDO AREVALO, ALBERTINA</t>
  </si>
  <si>
    <t>ROMAN SANTE, SILVIA</t>
  </si>
  <si>
    <t>CALLONSA DE QUISPE, ROSA</t>
  </si>
  <si>
    <t>CASTRO IZQUIERDO, VICTORIA</t>
  </si>
  <si>
    <t>SAUÑE GUIZADO, EPIFANIA</t>
  </si>
  <si>
    <t>AQUINO IZQUIERDO, LEOCADIA</t>
  </si>
  <si>
    <t>CHIPANA QUISPE, DELIA EMILIA</t>
  </si>
  <si>
    <t>FERRO SILVA, HILARIA</t>
  </si>
  <si>
    <t>AGUIRRE SAAVEDRA, YAKUE JANET</t>
  </si>
  <si>
    <t>CARRASCO RIVERA, LUISA</t>
  </si>
  <si>
    <t>YUPANQUIE CARBAJAL, MARIA</t>
  </si>
  <si>
    <t>CONTRERAS ANAMPA, CELESTINA</t>
  </si>
  <si>
    <t>MUNARES PEÑA, MARILUZ</t>
  </si>
  <si>
    <t>HUALLPA ARTEAGA, JANINA ELIZABETH</t>
  </si>
  <si>
    <t>CONTRERAS ANAMPA, EDY</t>
  </si>
  <si>
    <t>ROJAS TELLO, MACARIO</t>
  </si>
  <si>
    <t>IZQUIERDO RIOS, YASMINI MELVI</t>
  </si>
  <si>
    <t>HURTADO QUISPE, MELCHORA</t>
  </si>
  <si>
    <t>PALMA LEON, DAMIAN COSME</t>
  </si>
  <si>
    <t>SILVA AGUIRRE, JUSTINO</t>
  </si>
  <si>
    <t>CURAHUASI</t>
  </si>
  <si>
    <t>MOSQUEIRA CASTAÑEDA, NORMA</t>
  </si>
  <si>
    <t>SALDIVAR PEÑA, CARMELA</t>
  </si>
  <si>
    <t>CHACON ESPINOZA, LIVIA</t>
  </si>
  <si>
    <t>SAN PEDRO DE CACHORA</t>
  </si>
  <si>
    <t>AYQUIPA OVALLE VDA. DE CHACON, MAXIMILIANA</t>
  </si>
  <si>
    <t>CUNZA HUILLCA, TULA</t>
  </si>
  <si>
    <t>CHICCLA ESPINOZA, MARGARITA</t>
  </si>
  <si>
    <t>PANCORBO CUELLAR, VILMA</t>
  </si>
  <si>
    <t>PANCORBO CUELLAR, MARIA VISITACION</t>
  </si>
  <si>
    <t>ORTIZ QUISPE, MAXI ADELAIDA</t>
  </si>
  <si>
    <t>OCAMPO TORRES, LONASCO</t>
  </si>
  <si>
    <t>CUNZA HUILLCA, SONIA</t>
  </si>
  <si>
    <t>CUNZA HUILLCA, JAQUELINE</t>
  </si>
  <si>
    <t>SALAS HUARHUA, LEONARDA</t>
  </si>
  <si>
    <t>ALVAREZ ARONI, ROLANDO</t>
  </si>
  <si>
    <t>HUAMANÑAHUI LAIME, CECILIA</t>
  </si>
  <si>
    <t>CUELLAR LAIME, SABINA</t>
  </si>
  <si>
    <t>DAMIAN DE PEÑA, LUCIA ANTONIA</t>
  </si>
  <si>
    <t>VEGA CHACON, JUDITH</t>
  </si>
  <si>
    <t>GUILLEN PALMA, MARIA LUISA</t>
  </si>
  <si>
    <t>SERRANO SULLCAHUAMAN, RICHARD ALFONSO</t>
  </si>
  <si>
    <t>PEREZ DE AGUIRRE, MARIA</t>
  </si>
  <si>
    <t>CCAIHUARI CARBAJAL, JULIA</t>
  </si>
  <si>
    <t>COBARRUBIAS ESPINOZA, JUANA</t>
  </si>
  <si>
    <t>SERRANO DUEÑAS, MARLENI</t>
  </si>
  <si>
    <t>HUACHO DE SULLCAHUAMAN, MODESTA</t>
  </si>
  <si>
    <t>CASTRO DE LEIVA, VIRGINIA</t>
  </si>
  <si>
    <t>CASTRO RODRIGUEZ, JOHNN</t>
  </si>
  <si>
    <t>PALOMINO CASTRO, ASUNCION</t>
  </si>
  <si>
    <t>PEÑA ORTIZ, MARUJA</t>
  </si>
  <si>
    <t>SILVA TRINIDAD, CECILIA</t>
  </si>
  <si>
    <t>SEGUNDO PEÑA, PEDRO</t>
  </si>
  <si>
    <t>SULLCAHUAMAN BARRIENTOS, EDO</t>
  </si>
  <si>
    <t>QUINTANA MONZON, PEDRO JAVIER</t>
  </si>
  <si>
    <t>CONZA DE ALVAREZ, ROSA VICTORIA</t>
  </si>
  <si>
    <t>MALLQUI ESPINOZA, ALEJANDRINA</t>
  </si>
  <si>
    <t>CASTAÑEDA HUAMAN, DINA</t>
  </si>
  <si>
    <t>BARRIENTOS MENDIZABAL, APARICIA</t>
  </si>
  <si>
    <t>SACA CARAZAS, VERONICA</t>
  </si>
  <si>
    <t>RIVERO MALLQUI, OLGA</t>
  </si>
  <si>
    <t>BARRIENTOS MALLQUI, ALEJANDRINA</t>
  </si>
  <si>
    <t>MALLQUI AGUIRRE, MARIA</t>
  </si>
  <si>
    <t>CCAIHUARI DE AYMA, GERVACIA</t>
  </si>
  <si>
    <t>CISNEROS DE MOSQUEIRA, JULIA</t>
  </si>
  <si>
    <t>PEÑA ORTIZ, BERTHA</t>
  </si>
  <si>
    <t>MALLQUI GONZALES, ISIDORA</t>
  </si>
  <si>
    <t>MONZON FERNANDEZ, EMPERATRIZ</t>
  </si>
  <si>
    <t>ESPINOZA AYMA, FRANCISCA</t>
  </si>
  <si>
    <t>GOMES DE ESPINOZA, LUISA</t>
  </si>
  <si>
    <t>CORDOVA CCOPA, EDGAR JAVIER</t>
  </si>
  <si>
    <t>HUAMAN HUAMAN, DOMINGA</t>
  </si>
  <si>
    <t>QUISPE ESPINOZA, EVER</t>
  </si>
  <si>
    <t>RIVERO ORTIZ, ALBERTO</t>
  </si>
  <si>
    <t>BORDA VARGAS, MARTIN</t>
  </si>
  <si>
    <t>ESPINOZA MELENDEZ, EMILIO</t>
  </si>
  <si>
    <t>OCSA MELENDEZ, NELY</t>
  </si>
  <si>
    <t>ESPINOZA ALVAREZ, ZENOBIA</t>
  </si>
  <si>
    <t>ORTIZ VARGAS, EDGAR</t>
  </si>
  <si>
    <t>LIRA FERNANDEZ, JESUS</t>
  </si>
  <si>
    <t>ESPINOZA VARGAS, MARIA</t>
  </si>
  <si>
    <t>CCOSCCO ANCCO, CLEMENTE</t>
  </si>
  <si>
    <t>CONTRERAS ORTIZ, NANCY</t>
  </si>
  <si>
    <t>VARGAS DE ESPINOZA, JUANA</t>
  </si>
  <si>
    <t>ESPINOZA AMARU DE ESPINOZA, MARCELINA</t>
  </si>
  <si>
    <t>ORTIZ DE CONTRERAS, SEGUNDINA</t>
  </si>
  <si>
    <t>MEDINA DE MENDIVIL, JUANA LUISA</t>
  </si>
  <si>
    <t>MOSQUEIRA SULLCAHUAMAN, CLEDIA</t>
  </si>
  <si>
    <t>SULLCAHUAMAN OSCCO, TERESA</t>
  </si>
  <si>
    <t>RIVAS DE SANCHES, CARMEN</t>
  </si>
  <si>
    <t>CUARESMA ESPINOZA, VICENTINA</t>
  </si>
  <si>
    <t>ZUZUNAGA QUISPE, RAUL</t>
  </si>
  <si>
    <t>SILVA UCHUPE, ROSARIO</t>
  </si>
  <si>
    <t>VARGAS ARIAS, JUAN</t>
  </si>
  <si>
    <t>ESPINOZA CHICLLA, SATURNINA</t>
  </si>
  <si>
    <t>HURTADO TORRES, JOSE</t>
  </si>
  <si>
    <t>ARIAS DE VARGAS, VENTURINA</t>
  </si>
  <si>
    <t>CUELLAR HUAMAN, RITA</t>
  </si>
  <si>
    <t>PEÑA LAIME, DELIA</t>
  </si>
  <si>
    <t>PRUDENCIA PERALTA, RICARDINA</t>
  </si>
  <si>
    <t>GUISADO CHICLLA, BENEDICTA</t>
  </si>
  <si>
    <t>ESPINOZA AVALOS, SATURNINO</t>
  </si>
  <si>
    <t>CHICLLA HUAMAN, JULIA</t>
  </si>
  <si>
    <t>AVALOS CARRION, JUANA FRANCISCA</t>
  </si>
  <si>
    <t>VELAZQUE ARIAS, CARMEN</t>
  </si>
  <si>
    <t>LOPEZ LAIME, AVELINO</t>
  </si>
  <si>
    <t>MOREANO AVALOS, RAUL</t>
  </si>
  <si>
    <t>AREAS DE CACERES, CLOTILDE</t>
  </si>
  <si>
    <t>CACERES ARIAS, TORIBIO</t>
  </si>
  <si>
    <t>CHICLLA CACERES, JOSE LUIS</t>
  </si>
  <si>
    <t>QUISPE VARGAS, HERMITAÑA</t>
  </si>
  <si>
    <t>AVALOS MONTES, SATURNINA</t>
  </si>
  <si>
    <t>OVALLE CRUZ, LUCRESIA</t>
  </si>
  <si>
    <t>CCOCHACHI CCARHUSLLA, VICTOR</t>
  </si>
  <si>
    <t>CCOCHACHI CCARHUASLLA, SIMEON</t>
  </si>
  <si>
    <t>ALARCON GAMARRA, SABINA</t>
  </si>
  <si>
    <t>MONTAÑEZ ALVIS, GRIMANEZA</t>
  </si>
  <si>
    <t>CLAROS PEREZ, SHARMELEE</t>
  </si>
  <si>
    <t>PANCORBO PANCORBO, PATRICIO</t>
  </si>
  <si>
    <t>LEON HUILLCA, SABINO</t>
  </si>
  <si>
    <t>CARLIN OCAMPO, JUANA</t>
  </si>
  <si>
    <t>OSCCO JARA, ANTERO</t>
  </si>
  <si>
    <t>VALENTIN CATALAN, EXALTACION</t>
  </si>
  <si>
    <t>ESCALANTE PANCORBO, FELICIANO</t>
  </si>
  <si>
    <t>CHIRINOS DE GARCIA, PAULINA</t>
  </si>
  <si>
    <t>AQUISE HINOJOSA, DORIS</t>
  </si>
  <si>
    <t>ESCALANTE PANCORBO, JUANA</t>
  </si>
  <si>
    <t>ARREDONDO CATALAN, SATURNINO</t>
  </si>
  <si>
    <t>GUTIERREZ HUARAYA, VICTORIA</t>
  </si>
  <si>
    <t>OVALLE QUINTANA, MAGDALENA</t>
  </si>
  <si>
    <t>MONTES BORDA, ALEJANDRINA</t>
  </si>
  <si>
    <t>CHAPARRO DE SOLIS, FELICIANA</t>
  </si>
  <si>
    <t>HUAMAN QUISPE, DOLORES</t>
  </si>
  <si>
    <t>LEON HUILLCA, AUGUSTO</t>
  </si>
  <si>
    <t>OVALLE ENCISO, HERMEHEGILDA</t>
  </si>
  <si>
    <t>TORO OVALLE, SANTUSA</t>
  </si>
  <si>
    <t>SONCCO LIBANDRO, GREGORIO</t>
  </si>
  <si>
    <t>PEREZ LEON, UBALDINA</t>
  </si>
  <si>
    <t>AVALOS HUAIHUA, GILVER HERMENEGILDO</t>
  </si>
  <si>
    <t>VALVERDE CATALAN, LUIS</t>
  </si>
  <si>
    <t>CRUZ CESPEDES, JUAN</t>
  </si>
  <si>
    <t>ARTEAGA PEDRAZA, JUANA</t>
  </si>
  <si>
    <t>ESCALANTE CATALAN, SERAPIO</t>
  </si>
  <si>
    <t>IBARRA AVALOS, GENARO</t>
  </si>
  <si>
    <t>IVARRA DE OVALLE, JUSTINA</t>
  </si>
  <si>
    <t>SONCCO DE IBARRA, SILVERIA</t>
  </si>
  <si>
    <t>IBARRA ARIAS, DAMICIANA</t>
  </si>
  <si>
    <t>ARTEAGA DE GUEVARA, CIRILA</t>
  </si>
  <si>
    <t>IBARRA VALENTIN, ALEJANDRO</t>
  </si>
  <si>
    <t>IBARRA AVALOS, SABINO</t>
  </si>
  <si>
    <t>BARAZORDA AVALOS, FLORENCIA</t>
  </si>
  <si>
    <t>VARGAS JARA, ESTEBAN</t>
  </si>
  <si>
    <t>IBARRA SONCCO, WENCESLAO</t>
  </si>
  <si>
    <t>ESCALANTE IBARRA, EUGENIO</t>
  </si>
  <si>
    <t>MIRANDA SANCHEZ, RONAL</t>
  </si>
  <si>
    <t>GUISADO CACERES, ROCIO</t>
  </si>
  <si>
    <t>HUAMAN MENDOZA, FELICIANO</t>
  </si>
  <si>
    <t>MENDOZA AVALOS, EVA</t>
  </si>
  <si>
    <t>GUIZADO CALDERON, CELESTINO</t>
  </si>
  <si>
    <t>HUAMANÑAHUI CARRION, RICARDINA</t>
  </si>
  <si>
    <t>SANTOS CUELLAR, ANTONIA</t>
  </si>
  <si>
    <t>QUISPE CHUMPISUCA, LEONOR</t>
  </si>
  <si>
    <t>ARREDONDO DE CHICLLA, BEATRIZ</t>
  </si>
  <si>
    <t>VALVERDE VDA DE SANCHEZ, ISABEL</t>
  </si>
  <si>
    <t>OYOLA ASCARZA, RUPERTA</t>
  </si>
  <si>
    <t>VARGAS ARONI, JACINTA</t>
  </si>
  <si>
    <t>GAMARRA SIERRA, LUCHA MAGALY</t>
  </si>
  <si>
    <t>ARTEAGA TTICA, AGUEDA IGNACIA</t>
  </si>
  <si>
    <t>AVALOS MEDINA, CARMEN</t>
  </si>
  <si>
    <t>LIGARDA DE ALEGRIA, CIRILA</t>
  </si>
  <si>
    <t>CHAPARRO BARAZORDA, RENE</t>
  </si>
  <si>
    <t>BARAZORDA DE RIOS, JOSEFINA</t>
  </si>
  <si>
    <t>HUAMANÑAHUI LEZANO, MARTHA</t>
  </si>
  <si>
    <t>HUACHACA ALFARO, JULIA</t>
  </si>
  <si>
    <t>BECERRA MERMA, ANTONIA</t>
  </si>
  <si>
    <t>LOPEZ PEDRAZA, VIRGILIA</t>
  </si>
  <si>
    <t>KORIKI PIÑARREAL, EBELY</t>
  </si>
  <si>
    <t>CUAVOY HUAMAN DE HILARES, LUCIA</t>
  </si>
  <si>
    <t>CHULLCA HUAMAN, ANA JESUSA</t>
  </si>
  <si>
    <t>ROJAS AVALOS, BEATRIZ</t>
  </si>
  <si>
    <t>HUAMAN DE PATACA, NATIVIDAD</t>
  </si>
  <si>
    <t>CONTRERAS QUISPE, MIGUEL</t>
  </si>
  <si>
    <t>TAYPE VALER, LUCIA</t>
  </si>
  <si>
    <t>CRUZ CHOCCATA, JUANA</t>
  </si>
  <si>
    <t>HUAMAN DE BARAZORDA, FRANCISCA</t>
  </si>
  <si>
    <t>LEON HUILLCA, GREGORIA</t>
  </si>
  <si>
    <t>OVALLE PEDRAZA, ANTONIO</t>
  </si>
  <si>
    <t>HUARCA ROCCA, MARIA</t>
  </si>
  <si>
    <t>VARGAS HUAMANÑAHUI, YSABEL</t>
  </si>
  <si>
    <t>ASTO PATACA, ANICETO</t>
  </si>
  <si>
    <t>MUÑOZ LEON, LUCIA</t>
  </si>
  <si>
    <t>CHUQUIMAGO ALLCA, BERNARDINO</t>
  </si>
  <si>
    <t>SILVA GUILLEN, WILBERT</t>
  </si>
  <si>
    <t>DELGADO GUISADO, EDITH</t>
  </si>
  <si>
    <t>HUANIPACA</t>
  </si>
  <si>
    <t>LIGARDA SUPANTA, SERAPIO</t>
  </si>
  <si>
    <t>HUAMAN JULLUNI, RINA</t>
  </si>
  <si>
    <t>CARRASCO PAUCARA, DARIO</t>
  </si>
  <si>
    <t>CAMARA CHAPARRO, JUSTINA</t>
  </si>
  <si>
    <t>ZUÑIGA ARREDONDO, MIRIAN</t>
  </si>
  <si>
    <t>SAHUARAURA YARIN, AMILCAR</t>
  </si>
  <si>
    <t>VERGARA ROQUE, JESUS</t>
  </si>
  <si>
    <t>AYMARA MEDIANO, TORIBIA</t>
  </si>
  <si>
    <t>AVALOS SOTELO, BIVIANA</t>
  </si>
  <si>
    <t>GUISADO ROJAS, ALEJANDRO</t>
  </si>
  <si>
    <t>QUINTANA ROZAS, EMPERATRIZ</t>
  </si>
  <si>
    <t>CONDOMA PANIURA, CIRILO</t>
  </si>
  <si>
    <t>QUIN PARIHUANA, ANTONIO</t>
  </si>
  <si>
    <t>BUSTAMANTE MAMANI, URBANA</t>
  </si>
  <si>
    <t>BENGOLEA DE ANGELO, CORNELIA</t>
  </si>
  <si>
    <t>CASTILLO HUAMANI, JUANA</t>
  </si>
  <si>
    <t>BARAZORDA BORDA, JUANA CLEMENCIA</t>
  </si>
  <si>
    <t>ANGELO RAMOS, YOVANA</t>
  </si>
  <si>
    <t>OSCCO TRUJILLO, EDITH MELEYDE</t>
  </si>
  <si>
    <t>BOLIVAR PANEORA, MARIA</t>
  </si>
  <si>
    <t>BARAZORDA C.ZACARIAS, NN</t>
  </si>
  <si>
    <t>POSTILLO LIGARDA, AMERICO</t>
  </si>
  <si>
    <t>CARRASCO PEDRAZA, EUGENIA</t>
  </si>
  <si>
    <t>CESPEDES CRUZ, MERCEDES</t>
  </si>
  <si>
    <t>OVALLE TRUJILLO, LEONARDA</t>
  </si>
  <si>
    <t>OVALLE TRUJILLO, MARIA</t>
  </si>
  <si>
    <t>VALVERDE AVALOS, PLACIDO</t>
  </si>
  <si>
    <t>AZURIN PEDRAZA, RODHY</t>
  </si>
  <si>
    <t>HUACHACA CRUZ, MARIA</t>
  </si>
  <si>
    <t>HUAMAN CASTILLO, CLAUDIA</t>
  </si>
  <si>
    <t>VARGAS QUISPE, JHONATAN</t>
  </si>
  <si>
    <t>GABANCHO ARREDONDO, LOURDES</t>
  </si>
  <si>
    <t>HUAMAN PORTILLO, JULIANA</t>
  </si>
  <si>
    <t>BECERRA OLIVERA, BENITO</t>
  </si>
  <si>
    <t>HUAMAN VERA, GERONIMA</t>
  </si>
  <si>
    <t>GUILLEN ALEGRIA, VICTORIA</t>
  </si>
  <si>
    <t>BLAS CCAHUA, CARMEN</t>
  </si>
  <si>
    <t>CACERES ZUNIGA, YOSELYN</t>
  </si>
  <si>
    <t>FERRO TAYPE, BASILESA</t>
  </si>
  <si>
    <t>PALMA HUAMAN, MARGARITA</t>
  </si>
  <si>
    <t>KCACHA HUACHACA, FORTUNATA</t>
  </si>
  <si>
    <t>CCOCHACHI DE CATALAN, TOMASA</t>
  </si>
  <si>
    <t>PEDRAZA CHOCCATA, CARMEN</t>
  </si>
  <si>
    <t>ALARCON OLIVERA, FRAXIDES</t>
  </si>
  <si>
    <t>LIRA MONTESINOS, FRANCISCA</t>
  </si>
  <si>
    <t>MOREANO DE QUISPE, RITA</t>
  </si>
  <si>
    <t>GAVANCHO CHOCCATA, LUISA</t>
  </si>
  <si>
    <t>CASTILLO CONTRERAS, DAMASO</t>
  </si>
  <si>
    <t>FLORES RAMOS, KATHERINE</t>
  </si>
  <si>
    <t>HUAMAN  VERA, ANTONIA</t>
  </si>
  <si>
    <t>SIERRA YEPEZ, ADILI</t>
  </si>
  <si>
    <t>PALOMINO PALOMINO, CECILIA</t>
  </si>
  <si>
    <t>ALARCON HUAMANI, MATIASA</t>
  </si>
  <si>
    <t>CUELLAR ALARCON, ERASMO</t>
  </si>
  <si>
    <t>CHOCCATA DE GAVANCHO, VICTORIA</t>
  </si>
  <si>
    <t>CARHUASLLA ALARCON, RAMON</t>
  </si>
  <si>
    <t>CRUZ ALARCON, VALVINA</t>
  </si>
  <si>
    <t>JARA UGARTE, CAROLINA</t>
  </si>
  <si>
    <t>CARRASCO PEDRAZA, HONORATA</t>
  </si>
  <si>
    <t>UGARTE DE JARA, ISABEL</t>
  </si>
  <si>
    <t>SIERRA DEMETRIO, NN</t>
  </si>
  <si>
    <t>SIERRA OYOLA, LEOPOLDO</t>
  </si>
  <si>
    <t>GUISADO OJEDA, ANACLETA</t>
  </si>
  <si>
    <t>CRUZ DIAZ, CARMELA</t>
  </si>
  <si>
    <t>VERGARA ALARCON, MARTHA</t>
  </si>
  <si>
    <t>CONDOMA PANIURA, FELIX</t>
  </si>
  <si>
    <t>ALEGRIA LIGARDA, MARGOT</t>
  </si>
  <si>
    <t>OVALLE DIAZ, JACINTO</t>
  </si>
  <si>
    <t>LIVA CCOPA, PEDRO</t>
  </si>
  <si>
    <t>HUAMANÑAHUI BORDA, JESUS</t>
  </si>
  <si>
    <t>ALVAREZ SANTOS, ARMANDO</t>
  </si>
  <si>
    <t>AQUISE LUJAN DE FERRO, CLAUDIA SONIA</t>
  </si>
  <si>
    <t>ALARCON OJEDA, ANGEL</t>
  </si>
  <si>
    <t>PATACA HUACHACA, CATALINA</t>
  </si>
  <si>
    <t>LUDENA CARDENAS, SANTOSA</t>
  </si>
  <si>
    <t>CHIPA BARAZORDA, AURELIA</t>
  </si>
  <si>
    <t>CCAHUA LLAMOCCA, NAZARIA</t>
  </si>
  <si>
    <t>HUAMAN CONDOMA, BERTHA</t>
  </si>
  <si>
    <t>HUAMANI HUAYHUA, ESTELA</t>
  </si>
  <si>
    <t>VARGAS RAMOS, SATURNINO</t>
  </si>
  <si>
    <t>SAIRE BARAZORDA, ZENOVIA</t>
  </si>
  <si>
    <t>ROJAS AVALOS, CRISTINA</t>
  </si>
  <si>
    <t>JARA VDA. DE VARGAS, DIONICIA</t>
  </si>
  <si>
    <t>ROQUE CHOCCATA, MARIA</t>
  </si>
  <si>
    <t>CHOCCATA HUACHACA, MARCELINO</t>
  </si>
  <si>
    <t>CCALA MAMANI, MARIO</t>
  </si>
  <si>
    <t>BARAZORDA ARIAS, MARIA NATIVIDAD</t>
  </si>
  <si>
    <t>PALONINO GUERRA, JULIA CRISTINA</t>
  </si>
  <si>
    <t>CUELLAR VALVERDE, JUAN PABLO</t>
  </si>
  <si>
    <t>GUIZADO GAVANCHO, EPIFANIA</t>
  </si>
  <si>
    <t>CATALAN BARAZORDA, ESTELA</t>
  </si>
  <si>
    <t>CCOCHACHI CCARHUASLLA, JUANA</t>
  </si>
  <si>
    <t>PEDRAZA DURAN, ERASMO</t>
  </si>
  <si>
    <t>PEDRAZA ALARCON, TEOFILO</t>
  </si>
  <si>
    <t>OLIVERA ARREDONDO, CLEMENCIA</t>
  </si>
  <si>
    <t>OLIVERA ARREDONDO, ALICIA</t>
  </si>
  <si>
    <t>ROQUE DE AVALOS, LOURDES EULALIA</t>
  </si>
  <si>
    <t>CUAVOY HUAMAN, ENRIQUETA</t>
  </si>
  <si>
    <t>RAMOS BASILIO, FABIAN</t>
  </si>
  <si>
    <t>CAHUANA VALDIGLESIAS, FRANCISCO</t>
  </si>
  <si>
    <t>ARREDONDO MONTAÑEZ, GIOVANA</t>
  </si>
  <si>
    <t>SOTO OCHOA, ELIZABETH</t>
  </si>
  <si>
    <t>QUIN DE QUINTANA, EDUARDA</t>
  </si>
  <si>
    <t>MONTESINOS SOTOMAYOR, YURIZA</t>
  </si>
  <si>
    <t>GONZALES DE AGUILAR, CAROLINA</t>
  </si>
  <si>
    <t>FERRO KCACHA, VIRGILIO</t>
  </si>
  <si>
    <t>TTITO MAMANI, LUZ MARINA</t>
  </si>
  <si>
    <t>OVALLE PANIURA, ELIZABETH</t>
  </si>
  <si>
    <t>CALDERON CASTILLANOS, JUAN FELIPE</t>
  </si>
  <si>
    <t>BARAZORDA VDA. DE CUELLAR, JUANA</t>
  </si>
  <si>
    <t>PERALTA ALFARO, VILMA ANTONIA</t>
  </si>
  <si>
    <t>CCAHUA HUACHACA, MARIA</t>
  </si>
  <si>
    <t>OJEDA CHOCCATA, EUGENIA</t>
  </si>
  <si>
    <t>PALOMINO CABALLERO, VICTORIA</t>
  </si>
  <si>
    <t>CCORISONCCO YAURES, JUANA</t>
  </si>
  <si>
    <t>HUAMANI QUISPE, VICTORIA</t>
  </si>
  <si>
    <t>ARREDONDO OVALLE, MARCELINO</t>
  </si>
  <si>
    <t>LEON HUAMANI, FELICITAS</t>
  </si>
  <si>
    <t>CASSATUMA MENDOZA, SEGUNDINA</t>
  </si>
  <si>
    <t>AVALOS OCHOA, RICARDO</t>
  </si>
  <si>
    <t>CUELLAR DE HUACHACA, JUANA</t>
  </si>
  <si>
    <t>CUELLAR LLANOS, DANIEL DAVID</t>
  </si>
  <si>
    <t>PERALTA MOLINA, LUISA</t>
  </si>
  <si>
    <t>OLIVERA HUAMANI, DORIS</t>
  </si>
  <si>
    <t>SILVA DE JARA, PRUDENCIA</t>
  </si>
  <si>
    <t>SANCHEZ BARAZORDA, GRIMANESA</t>
  </si>
  <si>
    <t>CACERES DE CUELLAR, UFRACIA</t>
  </si>
  <si>
    <t>PERALTA MOLINA, MARCO ANTONIO</t>
  </si>
  <si>
    <t>RAMIREZ CONDORI, EUSEBIA</t>
  </si>
  <si>
    <t>OVALLE OVALLE, MIRIAN</t>
  </si>
  <si>
    <t>MIRANDA GOMEZ, TORIBIA</t>
  </si>
  <si>
    <t>AVALOS ARIAS, LAURA</t>
  </si>
  <si>
    <t>AVALOS ARIAS, JUANA</t>
  </si>
  <si>
    <t>HUAMANÑAHUI OVALLE, NICOLAZA</t>
  </si>
  <si>
    <t>HUAMANI HUAMANÑAHUI, VALENTIN</t>
  </si>
  <si>
    <t>HUAMANI CASTILLO, LEONCIO</t>
  </si>
  <si>
    <t>MEDIANO CHIPA, VIRGINIA</t>
  </si>
  <si>
    <t>CHACMANI GUIZADO, ERLINDA</t>
  </si>
  <si>
    <t>ROQUE MONZON, WILBER</t>
  </si>
  <si>
    <t>SERRANO ALVARADO, DOROTEA</t>
  </si>
  <si>
    <t>BACILIO CHULLCA, MERCEDES</t>
  </si>
  <si>
    <t>BASILIO CHULLCA, VALENTIN</t>
  </si>
  <si>
    <t>CHOCCATA DE MENDOZA, ANGELICA</t>
  </si>
  <si>
    <t>CCAHUA DIAZ, MARIA JESUSA</t>
  </si>
  <si>
    <t>ROJAS UNZUETA, CRISTINA</t>
  </si>
  <si>
    <t>ZAVALA OVALLE, MERCEDES</t>
  </si>
  <si>
    <t>MEDIANO TEVES, CONSTANTINO</t>
  </si>
  <si>
    <t>PEDRAZA PEÑA, LEONCIO</t>
  </si>
  <si>
    <t>HUILLCA ARANA, DOROTEA</t>
  </si>
  <si>
    <t>OCHOA VILCAS, ROSA</t>
  </si>
  <si>
    <t>BORDA VDA DE AZURIN, ROSAURA</t>
  </si>
  <si>
    <t>CACERES QUISPE, WILBERT</t>
  </si>
  <si>
    <t>AULLA PEDRAZA, FLOR DE MARIA</t>
  </si>
  <si>
    <t>PEDRAZA PORTILLO, ALEJANDRINA</t>
  </si>
  <si>
    <t>GARAY CRUZ, CELSA</t>
  </si>
  <si>
    <t>FERRO VARGAS, SAIDA</t>
  </si>
  <si>
    <t>AVALOS OVALLE, FLORENTINA</t>
  </si>
  <si>
    <t>ROQUE OJEDA, FAUSTINA</t>
  </si>
  <si>
    <t>CABRERA HUAMANI, HILDA</t>
  </si>
  <si>
    <t>CHOCCATA CRUZ, HILARIO</t>
  </si>
  <si>
    <t>GAVANCHO CHOCCATA, NIEVES</t>
  </si>
  <si>
    <t>JARA HUAMANI, ELENA</t>
  </si>
  <si>
    <t>GUILLEN ALARCON, EDITH</t>
  </si>
  <si>
    <t>LAYMA SALDIVAR, VICTORIA</t>
  </si>
  <si>
    <t>CHACON CABRERA, DIANA CAROLINA</t>
  </si>
  <si>
    <t>OCHOA ORE, MARIANO</t>
  </si>
  <si>
    <t>JARA VALVERDE, MARTHA</t>
  </si>
  <si>
    <t>YUPANQUI ALARCON, MILUSCA DAMIANA</t>
  </si>
  <si>
    <t>MEZA PILLO, MARIELA</t>
  </si>
  <si>
    <t>DURAN SERRANO, RONAL</t>
  </si>
  <si>
    <t>HUAMANÑAHUI ARIAS, NICOLAS</t>
  </si>
  <si>
    <t>DURAND  IBARRA, EVARISTO</t>
  </si>
  <si>
    <t>DURAN SERRANO, SUSANA</t>
  </si>
  <si>
    <t>MONTESINOS AVALOS, MARIA JESUS</t>
  </si>
  <si>
    <t>QUISPE OYOLA, ADELAIDA</t>
  </si>
  <si>
    <t>IBARRA BARAZORDA, NATIVIDAD</t>
  </si>
  <si>
    <t>CCARHUASLLA CARRASCO, GUILLERMINA</t>
  </si>
  <si>
    <t>SORAS ESCOBAR, EULOGIA</t>
  </si>
  <si>
    <t>MEZA ALFARO, NILDA</t>
  </si>
  <si>
    <t>CHIPANA  DE LIGARDA, PAULINA</t>
  </si>
  <si>
    <t>CAMPOS CATALAN, ANACLETO</t>
  </si>
  <si>
    <t>PINTO QUISPE, ELENA</t>
  </si>
  <si>
    <t>CUNZA CHICLLA, MARIA CRISTINA</t>
  </si>
  <si>
    <t>SERRANO DE ALARCON, FELICITAS</t>
  </si>
  <si>
    <t>LOZANO HUAMANÑA, HUI</t>
  </si>
  <si>
    <t>ALEGRIA CCARHUASLLA, FRANCISCA</t>
  </si>
  <si>
    <t>ROJAS LEON, VIRGINIA</t>
  </si>
  <si>
    <t>BECERRA TORO, JULIA</t>
  </si>
  <si>
    <t>CASTAÑEDA VARGAS, FANNY</t>
  </si>
  <si>
    <t>HUACHACA CRUZ, JUAN CARLOS</t>
  </si>
  <si>
    <t>HUAMAN GUISADO, MODESTA</t>
  </si>
  <si>
    <t>LAURA QUISPE, TEODORA</t>
  </si>
  <si>
    <t>BARAZORDA MESA, DOROTEO</t>
  </si>
  <si>
    <t>HUAMANÑAHUI FERRO, CERAFINA</t>
  </si>
  <si>
    <t>JARA RAMOS, CIRILA</t>
  </si>
  <si>
    <t>OYOLA GUIZADO, PRAXIDES</t>
  </si>
  <si>
    <t>KCACHA BORDA, JUSTINA</t>
  </si>
  <si>
    <t>BORDA DE CCACHA, LUCIA</t>
  </si>
  <si>
    <t>BORDA MORALES, ESTELA EPIFANIA</t>
  </si>
  <si>
    <t>SIERRA DE ARAGON, FRANCISCA</t>
  </si>
  <si>
    <t>OVALLE DE ARAGON, FRANCISCO</t>
  </si>
  <si>
    <t>ARAGON OVALLE, NANCY</t>
  </si>
  <si>
    <t>DURAND HUAMANÑAHUI, INOCENCIO</t>
  </si>
  <si>
    <t>KACHA MEZ, CELIA SOLEDAD</t>
  </si>
  <si>
    <t>VALER VALVERDE, ESTEBAN</t>
  </si>
  <si>
    <t>OVALLE HUAMANÑAHUI, EFRACIO</t>
  </si>
  <si>
    <t>PAREJA ROMAN, KATY ROSA</t>
  </si>
  <si>
    <t>OVALLE ZABALA, CARLOS</t>
  </si>
  <si>
    <t>KACHA MEZA, ALBERTINA</t>
  </si>
  <si>
    <t>HUACHACA KCACHA, VIRGILIO</t>
  </si>
  <si>
    <t>BORDA SANCHEZ, JULIA</t>
  </si>
  <si>
    <t>AVALOS MONTES, MARIA</t>
  </si>
  <si>
    <t>FERRO PANCORBO, ROSA</t>
  </si>
  <si>
    <t>GAMARRA VALENCIA, ELSA</t>
  </si>
  <si>
    <t>RAMOS DE LOAYZA, EMILIA</t>
  </si>
  <si>
    <t>SIERRA DE HUAMANI, CANDELARIA</t>
  </si>
  <si>
    <t>PEDRAZA SIERRA DE HUAMANÑAHUI, MARTINA</t>
  </si>
  <si>
    <t>AVALOS CUELLAR, VICTORIA</t>
  </si>
  <si>
    <t>VALER VALVERDE, JUAN PABLO</t>
  </si>
  <si>
    <t>RAMOS HUAMANI, MARUJA</t>
  </si>
  <si>
    <t>RAMOS SERRANO, ROSS MERY</t>
  </si>
  <si>
    <t>RAMOS GONZALES, CIRILO</t>
  </si>
  <si>
    <t>HUAMANI FLORES, VENTURANA</t>
  </si>
  <si>
    <t>HUAMANÑAHUI AVALOS, FRANCISCO</t>
  </si>
  <si>
    <t>CASTAÑEDA ARREDONDO, PRIMITIVO</t>
  </si>
  <si>
    <t>ARONI DAVALOS, RUFINO</t>
  </si>
  <si>
    <t>HUACHACA HUAMANÑAHUI, ISIDORA</t>
  </si>
  <si>
    <t>CONTO QUISPE, NORMA</t>
  </si>
  <si>
    <t>ARIAS RAMIREZ, MARIZA</t>
  </si>
  <si>
    <t>NEGRON RAMOS, PAULINA</t>
  </si>
  <si>
    <t>PACHECO CCAYHUARI, DANIEL</t>
  </si>
  <si>
    <t>JARA CASTAÑEDA, VENANCIA</t>
  </si>
  <si>
    <t>HUAMANÑAHUI DAVALOS, JUAN</t>
  </si>
  <si>
    <t>ARONE CARRION, CIRILO</t>
  </si>
  <si>
    <t>JARA NEGRON, CIRILA</t>
  </si>
  <si>
    <t>JARA BENGOLEA, CRISPIN</t>
  </si>
  <si>
    <t>AVALOS LAYME, MARTIN</t>
  </si>
  <si>
    <t>ARIAS JARA, JUSTINA</t>
  </si>
  <si>
    <t>HUAMANÑAHUI AVALOS, DAMIANA</t>
  </si>
  <si>
    <t>SANCHEZ AGUILAR, GERMAN</t>
  </si>
  <si>
    <t>CARTAGENA LOPEZ, CELSO</t>
  </si>
  <si>
    <t>AGUILAR DE SANCHEZ, IRENE</t>
  </si>
  <si>
    <t>GUISADO HUAMAN, SIMEON</t>
  </si>
  <si>
    <t>BENGOLEA GONZALES DE PEÑA, AURORA</t>
  </si>
  <si>
    <t>CHIPA DE JARA, LUCIA</t>
  </si>
  <si>
    <t>HUAMANÑAHUI DAVALOS, ELBA</t>
  </si>
  <si>
    <t>ACUÑA HUAMANÑAHUI, EULALIA</t>
  </si>
  <si>
    <t>GUISADO DE AVALOS, ROSARIO</t>
  </si>
  <si>
    <t>HUAIHUA GONZALES, MARCOS</t>
  </si>
  <si>
    <t>CASTAÑEDA HUAMANÑAHUI, JUSTINA</t>
  </si>
  <si>
    <t>NEGRON OCHOA, VIRGINIA</t>
  </si>
  <si>
    <t>CHIPA DE RAMOS, DOLORES</t>
  </si>
  <si>
    <t>GONZALES DIAZ, CRISTINA</t>
  </si>
  <si>
    <t>UNSUETA OVALLE, CARLOS</t>
  </si>
  <si>
    <t>CRUZ VARGAS, HILDA</t>
  </si>
  <si>
    <t>AGUILAR AYMARA, GAVINA</t>
  </si>
  <si>
    <t>CUELLAR PEÑALOZA, PAULINA</t>
  </si>
  <si>
    <t>RAMOS CRUZ, DELIA</t>
  </si>
  <si>
    <t>ARTEAGA AVALOS, SERAFINA</t>
  </si>
  <si>
    <t>CATALAN LANCHO, MIGUEL CARLOS</t>
  </si>
  <si>
    <t>LANCHO RAMOS, CIRILA</t>
  </si>
  <si>
    <t>HUAMANÑAHUI RAMOS, EUSEBIA</t>
  </si>
  <si>
    <t>SOTELO HUACHACA, FRANCISCA</t>
  </si>
  <si>
    <t>CHALLCO COQUE, ERMELEGINDA</t>
  </si>
  <si>
    <t>GUTIERREZ RAMOS, PATRICIA</t>
  </si>
  <si>
    <t>PINEDA CESPEDES, MARIO</t>
  </si>
  <si>
    <t>AGUILAR GONZALES, ALICIA</t>
  </si>
  <si>
    <t>VARGAS RAMOS, LOURDES</t>
  </si>
  <si>
    <t>RAMOS ZAVALA, TORIBIO</t>
  </si>
  <si>
    <t>ZUÑIGA OVALLE, MARIBEL</t>
  </si>
  <si>
    <t>RAMOS HUAMANÑAHUI, FIDEL</t>
  </si>
  <si>
    <t>HUAMAN CLEMENTE, ROSALIO</t>
  </si>
  <si>
    <t>CAMACHO OVALLE, CLEIDER</t>
  </si>
  <si>
    <t>CAMPANA ARIAS, JULIO ANTENOR</t>
  </si>
  <si>
    <t>GAMARRA DE CHACON, FLORENCIA</t>
  </si>
  <si>
    <t>BARAZORDA PEDRAZA, DINA</t>
  </si>
  <si>
    <t>CASTAÑEDA VALVERDE, HIPOLITA</t>
  </si>
  <si>
    <t>GONZALES UGARTE, ALEJANDRINA</t>
  </si>
  <si>
    <t>ASCARAZA VALVERDE, PAULINA</t>
  </si>
  <si>
    <t>RAMOS HUAMANÑAHUI, GENARO</t>
  </si>
  <si>
    <t>RAMOS ASCARZA, GEORGE BRAYAN</t>
  </si>
  <si>
    <t>AVALOS ARONI, FRANKLIN</t>
  </si>
  <si>
    <t>PERALTA MOLINA, ROSALIO</t>
  </si>
  <si>
    <t>GUILLEN PERALTA, MARIA</t>
  </si>
  <si>
    <t>ARIAS VALVERDE, MAURO</t>
  </si>
  <si>
    <t>JARA VALVERDE, ISAAC</t>
  </si>
  <si>
    <t>VALVERDE DE JARA, MELCHORA</t>
  </si>
  <si>
    <t>JARA PACHECO, JULIAN</t>
  </si>
  <si>
    <t>ARONI HUAMANÑAHUI, JULIA</t>
  </si>
  <si>
    <t>VALVERDE DE CASTAÑEDA, MERCEDES</t>
  </si>
  <si>
    <t>BORDA SANCHEZ, GREGORIO</t>
  </si>
  <si>
    <t>HUAMANÑAHUI OVALLE, YURIKA</t>
  </si>
  <si>
    <t>MENDOZA PINEDA, EULALIA</t>
  </si>
  <si>
    <t>LANCHO VALVERDE, LINA</t>
  </si>
  <si>
    <t>RAMOS HUAMANÑAHUI, PAULINA</t>
  </si>
  <si>
    <t>AVALOS GUZMAN, YULI</t>
  </si>
  <si>
    <t>VARGAS RAMOS, BERTHA</t>
  </si>
  <si>
    <t>CHIPA TICONA, AMAPARA</t>
  </si>
  <si>
    <t>VARGAS RAMOS, JUSTINA</t>
  </si>
  <si>
    <t>JARA CUELLAR, TIMOTEO</t>
  </si>
  <si>
    <t>GUTIERREZ PEÑA, DARIO</t>
  </si>
  <si>
    <t>CRUZ BARAZORDA, DOROTEA</t>
  </si>
  <si>
    <t>PEDRAZA DE ROJAS, MERCEDES</t>
  </si>
  <si>
    <t>ABALOS DE HUAMANI, JESUSA</t>
  </si>
  <si>
    <t>ESCALANTE REINAGA, ANA MARIA</t>
  </si>
  <si>
    <t>FERNANDEZ CRUZ, LEOPOLDO</t>
  </si>
  <si>
    <t>HANCCO PHOCCOHUANCA, DELFINA</t>
  </si>
  <si>
    <t>FERNANDEZ CRUZ, LUCIA</t>
  </si>
  <si>
    <t>ALARCON DE VERGARA, DALMIRA</t>
  </si>
  <si>
    <t>OJEDA FERNANDEZ, CIRILO</t>
  </si>
  <si>
    <t>TAYPE GUISADO, SONIA</t>
  </si>
  <si>
    <t>ALARCON DE FUENTES, PRESENTACION</t>
  </si>
  <si>
    <t>ZUNIGA LEON, CLAUDIA</t>
  </si>
  <si>
    <t>FERRO ALARCON, ELIAS</t>
  </si>
  <si>
    <t>AVALOS BORDA, MOISES</t>
  </si>
  <si>
    <t>RIVAS LLANOS, GEMNER</t>
  </si>
  <si>
    <t>ARIAS MONZON, TADEO</t>
  </si>
  <si>
    <t>MONZON SOLIES, MARCELINA</t>
  </si>
  <si>
    <t>CCAIHUARI ARIAS, CIRIACO</t>
  </si>
  <si>
    <t>CHAPARO VILLACORTA, FRANCISCA</t>
  </si>
  <si>
    <t>ARIAS DAVALOS, JOSE</t>
  </si>
  <si>
    <t>HUAMANÑAHUI MONZON, BENEDICTA</t>
  </si>
  <si>
    <t>HUAMAN CACERES, FELIPE</t>
  </si>
  <si>
    <t>HUAMAN CACERES, INDIRA</t>
  </si>
  <si>
    <t>CAMPANA DE OCHOA, DIONISIA</t>
  </si>
  <si>
    <t>AVALOS BORDA, LEONARDO</t>
  </si>
  <si>
    <t>MONZON MENDOZA, FRANCISCO</t>
  </si>
  <si>
    <t>SANCHEZ CASTAÑEDA, TEODORA</t>
  </si>
  <si>
    <t>HUAMANÑAHUI MONZON, LEONARDA</t>
  </si>
  <si>
    <t>HUAMANÑAHUI MONZON, VICENTE</t>
  </si>
  <si>
    <t>CASTAÑEDA CARRION, TOMASA</t>
  </si>
  <si>
    <t>HUAMANÑAHUI MOLINA, MARINA</t>
  </si>
  <si>
    <t>HUAMAN CALDERON, LEONIDAS</t>
  </si>
  <si>
    <t>HUAMANÑAHUI SANCHEZ, SUSANA</t>
  </si>
  <si>
    <t>HUAMANNAHUI ARIAS, LUISA</t>
  </si>
  <si>
    <t>HUAMANÑAHUI PACHECO, SANTUSA</t>
  </si>
  <si>
    <t>DUEÑAS HUAMANÑAHUI, SEGUNDINO</t>
  </si>
  <si>
    <t>CCAIHUARI CUARESMA, ANTONIA</t>
  </si>
  <si>
    <t>HUAYLLA PEREZ, ROSA</t>
  </si>
  <si>
    <t>UNZUETA DANCUART, MERCEDES</t>
  </si>
  <si>
    <t>VALENZUELA HUAMANÑAHUI, DANIEL</t>
  </si>
  <si>
    <t>HUAMAN HUAYLLA, EUSEBIO</t>
  </si>
  <si>
    <t>TICONA BORDA, ALBERTINA</t>
  </si>
  <si>
    <t>OJEDA DE HUAMAN, LEONARDA</t>
  </si>
  <si>
    <t>VALVERDE HUAMAN, SABINO</t>
  </si>
  <si>
    <t>HUAMANÑAHUI ARIAS, DARIO</t>
  </si>
  <si>
    <t>CACERES RIOS, HILDA</t>
  </si>
  <si>
    <t>PICONA HUAMANÑAHUI, PABLO</t>
  </si>
  <si>
    <t>ARIAS LOPEZ, VALERIO</t>
  </si>
  <si>
    <t>ARIAS LOPEZ, VIRGILIO</t>
  </si>
  <si>
    <t>PEREZ OJEDA, FELICIANO</t>
  </si>
  <si>
    <t>HUAMAN CARBAJAL, FEDERICO</t>
  </si>
  <si>
    <t>MONZON HUAMAN, MERCEDES</t>
  </si>
  <si>
    <t>HUAMAN HUAYLLA, CELESTINA</t>
  </si>
  <si>
    <t>OJEDA DE PEREZ, CARMEN</t>
  </si>
  <si>
    <t>RAMIREZ HUAMANÑAHUI, WILDEMAR</t>
  </si>
  <si>
    <t>PERALTA HUAMAN, JOSE LUIS</t>
  </si>
  <si>
    <t>CASILLA TTITO, MAGDALENA</t>
  </si>
  <si>
    <t>ARIAS LOPEZ, MARIO ANTONIO</t>
  </si>
  <si>
    <t>VALVERDE HUAMAN, JUAN</t>
  </si>
  <si>
    <t>CASILLA GUTIERREZ, WILFREDO</t>
  </si>
  <si>
    <t>HUAMAN DE VALVERDE, ISABEL</t>
  </si>
  <si>
    <t>VALVERDE MENDOZA, SANTUSA</t>
  </si>
  <si>
    <t>PACHECO TICONA, CANCIO</t>
  </si>
  <si>
    <t>PACHECO MENDOZA, PABLO</t>
  </si>
  <si>
    <t>HUACHACA RAMOS, LIDA</t>
  </si>
  <si>
    <t>AGUILAR VALER, JUANA</t>
  </si>
  <si>
    <t>HUAMANÑAHUI VALVERDE, FORTUNATO</t>
  </si>
  <si>
    <t>ZAVALA VELASQUE, EDUARDO</t>
  </si>
  <si>
    <t>CHACON ZAVALA, AVELINA</t>
  </si>
  <si>
    <t>LAGOS ARENAZA, MARILUNA</t>
  </si>
  <si>
    <t>LOPEZ CACERES, FAUSTINA</t>
  </si>
  <si>
    <t>CARRION HUISA, LIDIA</t>
  </si>
  <si>
    <t>ANCCO CALDERON, UBALDINA</t>
  </si>
  <si>
    <t>LAURA ARMUTO DE CHIPANA, GABINA</t>
  </si>
  <si>
    <t>CARRASCO CENTENO, ISABEL</t>
  </si>
  <si>
    <t>DUEÑAS BEDIA, MARIA INES</t>
  </si>
  <si>
    <t>CUSI VEGA, MANUEL</t>
  </si>
  <si>
    <t>LLERENA RAMOS, DELFINA</t>
  </si>
  <si>
    <t>AMAO VASQUEZ, GLORIA</t>
  </si>
  <si>
    <t>CHACON MARIÑO, JUSTINA</t>
  </si>
  <si>
    <t>GUILLEN PACHECO, AGUEDO ANDRES</t>
  </si>
  <si>
    <t>VARGAS GUTIERREZ, JOSE DEL CARMEN</t>
  </si>
  <si>
    <t>MARIÑO HUAYLLA, SONIA</t>
  </si>
  <si>
    <t>TORRES TITO, NEMESIA</t>
  </si>
  <si>
    <t>HUILLCAHUA TORRES, ALBERTINA</t>
  </si>
  <si>
    <t>DUEÑAS PEREZ, OVALDINA</t>
  </si>
  <si>
    <t>CHACON VARGAS, TOMASA</t>
  </si>
  <si>
    <t>ESPINOZA GUIZADO, PRIMITIVA</t>
  </si>
  <si>
    <t>CARRASCO ZAVALA, YUDI</t>
  </si>
  <si>
    <t>MOLINA VARGAS, LUZMILA</t>
  </si>
  <si>
    <t>CHACON DELGADO, MARISOL</t>
  </si>
  <si>
    <t>CHIPA VARGAS, MARTHA</t>
  </si>
  <si>
    <t>ROMAN ESPINOZA, CARMELA</t>
  </si>
  <si>
    <t>GUZMAN CHACON, LIVIA</t>
  </si>
  <si>
    <t>VARGAS FLORES, EVASRISTO</t>
  </si>
  <si>
    <t>ANCCO DE MUÑIZ, FLORA</t>
  </si>
  <si>
    <t>CHIPA CHACON, FELICITAS</t>
  </si>
  <si>
    <t>AYMARAES</t>
  </si>
  <si>
    <t>COLCABAMBA</t>
  </si>
  <si>
    <t>GONZALES VALENCIA, ADALBERTO</t>
  </si>
  <si>
    <t>HUAMAN ARENAZA, TEODORO</t>
  </si>
  <si>
    <t>SIERRA VARGAS, JESUS</t>
  </si>
  <si>
    <t>CARBAJAL ALTAMIRANO, MATILDE</t>
  </si>
  <si>
    <t>VARGAS ALTAMIRANO, CIRILA</t>
  </si>
  <si>
    <t>GUIZADO DURAND, CECILIO</t>
  </si>
  <si>
    <t>VARGAS ALTAMIRANO, EMILIA</t>
  </si>
  <si>
    <t>CCOPA DUEÑAS, FREDI</t>
  </si>
  <si>
    <t>ZULOAGA HUAMANI, DAVID</t>
  </si>
  <si>
    <t>ALARCON LLERENA, PRIMITIVO</t>
  </si>
  <si>
    <t>AVALOS SIERRA, PANTALEON</t>
  </si>
  <si>
    <t>CACERES DAVALOS, JUAN</t>
  </si>
  <si>
    <t>TEJADA GONZALES, ZOILA</t>
  </si>
  <si>
    <t>MAMANI BARRETON, RONALD</t>
  </si>
  <si>
    <t>DURAN GUIZADO, YSIDORA</t>
  </si>
  <si>
    <t>VARGAS DE ZAMBRANO, IRENE</t>
  </si>
  <si>
    <t>CCOÑISLLA CARRASCO, GERARDO RAUL</t>
  </si>
  <si>
    <t>VELAZQUE CHACON, LUCIA JOVITA</t>
  </si>
  <si>
    <t>SOLIS GONZALES, NEOMI</t>
  </si>
  <si>
    <t>HURTADO DE CHIPANA, RICARDINA</t>
  </si>
  <si>
    <t>TEJADA GONZALES, CRISTINA</t>
  </si>
  <si>
    <t>LAGOS VARGAS, YANET</t>
  </si>
  <si>
    <t>CARRION HUISA, GABRIEL JAIME</t>
  </si>
  <si>
    <t>QUISPE QUISPE, ALEJANDRO</t>
  </si>
  <si>
    <t>LOPEZ PALOMINO, EVARISTA</t>
  </si>
  <si>
    <t>CRIADO DUEÑAS, BENEDICTA</t>
  </si>
  <si>
    <t>ROJAS VELASQUEZ, JUAN CARLOS</t>
  </si>
  <si>
    <t>ANDAHUAYLAS</t>
  </si>
  <si>
    <t>HUANCARAMA</t>
  </si>
  <si>
    <t>CESPEDES OROSCO DE VILCAS, MARIA</t>
  </si>
  <si>
    <t>LIZARME BERNAOLA, MARCELINO</t>
  </si>
  <si>
    <t>VILLCAS ESPINOZA, NICOLAZ</t>
  </si>
  <si>
    <t>ZUÑIGA DE PALOMINO, LUCIA VIRGINIA</t>
  </si>
  <si>
    <t>OROSCO DE CESPEDES, ANGELICA</t>
  </si>
  <si>
    <t>LEON MARTINEZ, VICTOR</t>
  </si>
  <si>
    <t>FALCON CRUZ, SERAFINA</t>
  </si>
  <si>
    <t>PICHIRHUA</t>
  </si>
  <si>
    <t>CESPEDES OROSCO, BENIGNA</t>
  </si>
  <si>
    <t>CRUZ RIOS, FAUSTINO</t>
  </si>
  <si>
    <t>CONTRERAS RIOS, KATIA</t>
  </si>
  <si>
    <t>VARGAS QUISPE, SERAPIO</t>
  </si>
  <si>
    <t>VILLEGAS HUACHO, REYNA</t>
  </si>
  <si>
    <t>VILLCAS CARRASCO, EDIHT DIANA</t>
  </si>
  <si>
    <t>HUACHO SOLIS, ANGELICA</t>
  </si>
  <si>
    <t>BORDA SOCA, SERAPIO</t>
  </si>
  <si>
    <t>HUAMAN MENDEZ, NEMESIA</t>
  </si>
  <si>
    <t>BRAVO LEON, FLORENCIO</t>
  </si>
  <si>
    <t>BRAVO LEON, MARGARITA</t>
  </si>
  <si>
    <t>MELENDEZ CRUZ, HILDA</t>
  </si>
  <si>
    <t>CRUZ HUARACA, OSWALDO</t>
  </si>
  <si>
    <t>HUARACA DE CRUZ, HONORATA</t>
  </si>
  <si>
    <t>MIRANDA CAHUANA, AGUEDA</t>
  </si>
  <si>
    <t>VILLCAS CCAHUANA, SANTOS</t>
  </si>
  <si>
    <t>OCAMPO DE LEON, JULIA</t>
  </si>
  <si>
    <t>LEON OCAMPO, JOSE</t>
  </si>
  <si>
    <t>MELENDEZ CARRASCO, CELSO</t>
  </si>
  <si>
    <t>CARRASCO VEGA, SATURNINO</t>
  </si>
  <si>
    <t>VILLEGAS HUACHO, FLOR</t>
  </si>
  <si>
    <t>MELENDEZ CCAHUANA, PABLO</t>
  </si>
  <si>
    <t>CRUZ HUARACA, NIEVES</t>
  </si>
  <si>
    <t>MIRANDA BALDARRAGO, AGUSTIN</t>
  </si>
  <si>
    <t>SAUÑE CARRASCO, FORTUNATO</t>
  </si>
  <si>
    <t>LEON OCAMPO, LIDIA</t>
  </si>
  <si>
    <t>CCAHUANA CARRASCO, CIPRIANO</t>
  </si>
  <si>
    <t>RIOS MIRANDA, GREGORIO</t>
  </si>
  <si>
    <t>PEDRAZA CHICLLA, ALEJANDRO</t>
  </si>
  <si>
    <t>CARRASCO HURTADO, OSWALDO</t>
  </si>
  <si>
    <t>PALMA VEGA, NARCISA</t>
  </si>
  <si>
    <t>VEGA ORTIZ, DOROTEA</t>
  </si>
  <si>
    <t>HUACHO PALOMINO, JUSTINO</t>
  </si>
  <si>
    <t>BRAVO SAUÑE, SANDRA</t>
  </si>
  <si>
    <t>PALOMINO DE HUACHO, ISABEL</t>
  </si>
  <si>
    <t>VEGA RIOS, EULOGIO</t>
  </si>
  <si>
    <t>HUACHO PALOMINO, ISABEL</t>
  </si>
  <si>
    <t>PEREZ CARDENAS, HERMITANIA</t>
  </si>
  <si>
    <t>BORDA ROJAS, SALOME</t>
  </si>
  <si>
    <t>ROJAS DE BORDA, JULIANA</t>
  </si>
  <si>
    <t>CARDENAS PEREZ, MAXIMILIANA</t>
  </si>
  <si>
    <t>ORTEGA AVALOS, ADRIAN</t>
  </si>
  <si>
    <t>ALARCON CESPEDES, VICTOR</t>
  </si>
  <si>
    <t>BUEZO SAUÑE, FLORA EVARISTA</t>
  </si>
  <si>
    <t>CESPEDES BORDA, HERMENEGILDO</t>
  </si>
  <si>
    <t>GUTIERRES ROMERO, JORGE GERARDO</t>
  </si>
  <si>
    <t>CARRASCO CARDENAS, JUANITA</t>
  </si>
  <si>
    <t>CRUZ GUTIERREZ, VIRGINIA</t>
  </si>
  <si>
    <t>LEON ESTACIO, LUIS GREGORIO</t>
  </si>
  <si>
    <t>ZAMORA CASTILLO, LUZMILA</t>
  </si>
  <si>
    <t>PEREIRA ÑAHUINMALLMA, MERCEDIANO</t>
  </si>
  <si>
    <t>ARONI HUILLCAYA, LORENZA</t>
  </si>
  <si>
    <t>HURTADO CABRERA, CATALINA</t>
  </si>
  <si>
    <t>OCAMPO ZAMORA, CELIA</t>
  </si>
  <si>
    <t>CARRASCO CARRION, LOURDES</t>
  </si>
  <si>
    <t>TORRES PEREZ, EVANGELINO.</t>
  </si>
  <si>
    <t>CACERES VELASQUE, MARGARITA</t>
  </si>
  <si>
    <t>HURTADO PERALTA, INOCENCIA</t>
  </si>
  <si>
    <t>TRUYENQUI LEON, BALTAZAR</t>
  </si>
  <si>
    <t>MONARES QUISPE, ESTHER</t>
  </si>
  <si>
    <t>CARDENAS DE ANDIA, JULIA</t>
  </si>
  <si>
    <t>CONCHOY BORDA, LUZ SILME</t>
  </si>
  <si>
    <t>LIZARME MELENDEZ, JULIA</t>
  </si>
  <si>
    <t>OCHICUA LONASCO, BERTHA</t>
  </si>
  <si>
    <t>QUISPE CARRASCO, LAYDINES</t>
  </si>
  <si>
    <t>BAZAN DE BEDIA, EUFROCINA</t>
  </si>
  <si>
    <t>PAMPAÑAUPA ALTAMIRANO, VIRGINIA</t>
  </si>
  <si>
    <t>QUISPE CCOÑAS, JUAN DE LA CRUZ</t>
  </si>
  <si>
    <t>QUISPE CARDENAS, ANA ORFELINDA</t>
  </si>
  <si>
    <t>PAMPAÑAUPA RIVAS, MARIA</t>
  </si>
  <si>
    <t>OROSCO INCA, MAXIMO</t>
  </si>
  <si>
    <t>QUITO PEREZ, AUDE</t>
  </si>
  <si>
    <t>CCARHUAS CARIRE, JULIAN</t>
  </si>
  <si>
    <t>PRADO TORRES, MARGOTH</t>
  </si>
  <si>
    <t>VELASQUE TAMBRAICO, NIEVES</t>
  </si>
  <si>
    <t>MARECOLLA ALVITE, SUANA</t>
  </si>
  <si>
    <t>QUISPE PALOMINO, TRINIDAD</t>
  </si>
  <si>
    <t>VERA CESPEDES, HIGINIO</t>
  </si>
  <si>
    <t>CUARESMA ARONI, LIDIA</t>
  </si>
  <si>
    <t>AGUILAR CAHUANA, CIRILA</t>
  </si>
  <si>
    <t>ALVITES AYALA, CLARIZA</t>
  </si>
  <si>
    <t>PRADO SAUÑE, IRENE</t>
  </si>
  <si>
    <t>ALENDEZ CARRION, ANTONIA</t>
  </si>
  <si>
    <t>BEDIA MENDOZA, MARIO</t>
  </si>
  <si>
    <t>BAZAN MEDINA, JORGINA</t>
  </si>
  <si>
    <t>ARIAS QUISPE, VILMA</t>
  </si>
  <si>
    <t>ALVITES VELASQUE, LUCIO</t>
  </si>
  <si>
    <t>GUIZADO VELASQUE, GREGORIA</t>
  </si>
  <si>
    <t>VERA VILCA, PABLO</t>
  </si>
  <si>
    <t>SOCA DE HURTADO, FABIANA</t>
  </si>
  <si>
    <t>MORCOLLA ANCCO, CLEOFE</t>
  </si>
  <si>
    <t>ALVITES DE ARIAS, VICTORIA</t>
  </si>
  <si>
    <t>QUISPE ARIAS, VIRGINIA</t>
  </si>
  <si>
    <t>ARIAS DE CRUZ, LIDIA</t>
  </si>
  <si>
    <t>CRUZ ARIAS, JOSE</t>
  </si>
  <si>
    <t>SALAZAR TORRES, JULIAN</t>
  </si>
  <si>
    <t>JOÑAS RAMOS, ALEJANDRINA HIGINIA</t>
  </si>
  <si>
    <t>ALVITES DE PEREZ, FILOMENA</t>
  </si>
  <si>
    <t>VILCAS DE BARRIENTOS, VIRGINIA</t>
  </si>
  <si>
    <t>CHACHAYMA CCORAHUA, GAVINA</t>
  </si>
  <si>
    <t>ROSELL SANCHEZ, HERLINDA</t>
  </si>
  <si>
    <t>HURTADO PALOMINO, MOISES</t>
  </si>
  <si>
    <t>CASTRO CORONADO, EMILIA</t>
  </si>
  <si>
    <t>ANDIA PECEROS, HILARIA</t>
  </si>
  <si>
    <t>LEON SUPANTA, SABINA</t>
  </si>
  <si>
    <t>CUARESMA SANTI, LEONARDA</t>
  </si>
  <si>
    <t>FLORES UTCAÑE, GRACIELA SILVIA</t>
  </si>
  <si>
    <t>CARDENAS HUAMAN, ANTONIA</t>
  </si>
  <si>
    <t>CARDENAS ZUÑIGA, SERAPIO FILEMON</t>
  </si>
  <si>
    <t>ALENDEZ BORDA, SIMIONA</t>
  </si>
  <si>
    <t>PEREZ CARDENAS, MERCEDES</t>
  </si>
  <si>
    <t>SAMANEZ SALDIVAR, VICTOR CRISANTO</t>
  </si>
  <si>
    <t>GONZALES TROCONES, MARIO</t>
  </si>
  <si>
    <t>GUTIERREZ PALOMINO, PERCY</t>
  </si>
  <si>
    <t>LEGUIA BENITES, AGUSTINA</t>
  </si>
  <si>
    <t>MORIANO VILLCAS, SATURNINO</t>
  </si>
  <si>
    <t>CRUZ DE CACCHA, SERAFINA</t>
  </si>
  <si>
    <t>ALARCON ACHULLA, CELESTINO</t>
  </si>
  <si>
    <t>GUILLEN BAUTISTA, IRENEO</t>
  </si>
  <si>
    <t>MOSCOSO CARRION, INGRID</t>
  </si>
  <si>
    <t>QUISPE ARIAS, PLACIDO</t>
  </si>
  <si>
    <t>ALTAMIRANO CARTOLIN, DAVID</t>
  </si>
  <si>
    <t>CORRALES QUISPE, CARLA</t>
  </si>
  <si>
    <t>CCAYPANI RIVAS, LAUREANO MARIO</t>
  </si>
  <si>
    <t>PICHIHUA ALIAGA, SANTOSA</t>
  </si>
  <si>
    <t>VALER OCHICUA, YOLIDA</t>
  </si>
  <si>
    <t>TROCONES VILLCAS, ADRIANO</t>
  </si>
  <si>
    <t>AMESQUITA DE FARFAN, JUSTINA TERESA</t>
  </si>
  <si>
    <t>DIAZ GONZALES, TEODORA</t>
  </si>
  <si>
    <t>CARRION DE ROSEL, MARIA</t>
  </si>
  <si>
    <t>SAUÑE VILCAS, ORECIMA</t>
  </si>
  <si>
    <t>ARIAS SAMANEZ, MARIO</t>
  </si>
  <si>
    <t>CHAHUILLCO VILLCAS, EULOGIA</t>
  </si>
  <si>
    <t>OROSCO POMA, CLAUDIA</t>
  </si>
  <si>
    <t>VILLCAS RODAS, JULIAN</t>
  </si>
  <si>
    <t>CRUZ CARDENAS, JOSE</t>
  </si>
  <si>
    <t>VILLALVA VERA, JULIA</t>
  </si>
  <si>
    <t>ZAMORA CASTILLO, ELIO</t>
  </si>
  <si>
    <t>QUISPE BARRIAL, FRANCISCA</t>
  </si>
  <si>
    <t>GUIZADO POMA, JUAN CANCIO</t>
  </si>
  <si>
    <t>FARFAN PEDRAZA, NILDA</t>
  </si>
  <si>
    <t>BORDA CABRERA, VITERBO</t>
  </si>
  <si>
    <t>VILLCAS CRUZ, MILAGROS MARILIN</t>
  </si>
  <si>
    <t>QUISPE LEGUIA, ANTONIA</t>
  </si>
  <si>
    <t>ORTEGA VARGAS, RUFINA</t>
  </si>
  <si>
    <t>BENITES ZAMORA, SONIA</t>
  </si>
  <si>
    <t>BENITES DIAZ, NILDA</t>
  </si>
  <si>
    <t>VASQUEZ CASTILLO, SHIRLEY CARMEN</t>
  </si>
  <si>
    <t>MUNARES CCARAHUA, DAMAZO</t>
  </si>
  <si>
    <t>TTUPA ALARCON, HILARIA</t>
  </si>
  <si>
    <t>AGUILAR MELENDEZ, JUANA</t>
  </si>
  <si>
    <t>CARRASCO BORDA, MARCELINO</t>
  </si>
  <si>
    <t>SANCHEZ PACHECO, GLADYS CATALINA</t>
  </si>
  <si>
    <t>HUANCACURI DE CASTRO, EVANGELINA</t>
  </si>
  <si>
    <t>LEON VALENZUELA, DIOGENES REYNA</t>
  </si>
  <si>
    <t>ESPINO PACHECHO, RAFAEL</t>
  </si>
  <si>
    <t>DIAZ VELASQUE, BEATRIZ</t>
  </si>
  <si>
    <t>SAUÑE BORDA, NICOLASA</t>
  </si>
  <si>
    <t>CAMACHO ALARCON, YONI</t>
  </si>
  <si>
    <t>ZUÑIGA HUARANCCA, DOLORES</t>
  </si>
  <si>
    <t>DIAZ RINCON, FABIO</t>
  </si>
  <si>
    <t>DIAZ GONZALES, MARTIN</t>
  </si>
  <si>
    <t>MAYTA HUAMANHORCO, VICENTINA</t>
  </si>
  <si>
    <t>ROJAS PORTILLO, LOURDES</t>
  </si>
  <si>
    <t>ORTEGA VARGAS, LOZGARETA</t>
  </si>
  <si>
    <t>DIAS PACHECO, MARIA ANTONIA</t>
  </si>
  <si>
    <t>ALVARADO VARGAS, MARIA</t>
  </si>
  <si>
    <t>VILLCAS DIAZ, VICTOR</t>
  </si>
  <si>
    <t>SAUÑE BORDA, SEBASTIAN</t>
  </si>
  <si>
    <t>VERA SANCHEZ, MARILUZ</t>
  </si>
  <si>
    <t>VARGAS BORDA, SAVINO</t>
  </si>
  <si>
    <t>AYALA VARGAS, YANINA</t>
  </si>
  <si>
    <t>GUILLEN VALENZUELA, MARTINA</t>
  </si>
  <si>
    <t>TUCA ENCISO, JOSE</t>
  </si>
  <si>
    <t>ALENDEZ CORDOVA, GAVINA</t>
  </si>
  <si>
    <t>HURTADO OCAMPO, CHABUCA</t>
  </si>
  <si>
    <t>OCAMPO DE RODAS, NARCISA</t>
  </si>
  <si>
    <t>MUNARES AVALOS, ANDRES AVELINO</t>
  </si>
  <si>
    <t>CAMACHO CARIRE, JAVIER ATILIO</t>
  </si>
  <si>
    <t>AVALOS CASTILLO, AVELINA</t>
  </si>
  <si>
    <t>AVALOS CASTILLO, CLOTILDE</t>
  </si>
  <si>
    <t>PACOBAMBA</t>
  </si>
  <si>
    <t>COTARMA TURPO, MARCOSA</t>
  </si>
  <si>
    <t>GUILLEN BAUTISTA, CIPRIANO</t>
  </si>
  <si>
    <t>CARBAJAL DE FIGUEROA, DONATA</t>
  </si>
  <si>
    <t>GUILLEN ALVITES, LORENZA</t>
  </si>
  <si>
    <t>DELA CRUZ, V. JUAN</t>
  </si>
  <si>
    <t>CHACON DE OROSCO, SOFIA</t>
  </si>
  <si>
    <t>VELASQUE CARRION VDA DE CALDERON, CIPRIANA</t>
  </si>
  <si>
    <t>GUTIERREZ QUIQUINLLA, MARIA ANGELICA</t>
  </si>
  <si>
    <t>ARONE VELASQUE, SABINO</t>
  </si>
  <si>
    <t>PALOMINO OROSCO, MERCEDES</t>
  </si>
  <si>
    <t>VASQUEZ LUJAN, ANTERO</t>
  </si>
  <si>
    <t>KISHUARA</t>
  </si>
  <si>
    <t>LOPEZ CHACHAYMA, OFELIA NANCY</t>
  </si>
  <si>
    <t>CARRION PASTOR, AGAPITO</t>
  </si>
  <si>
    <t>CHACHAIMA CARDENAS, MAXIMILIANA</t>
  </si>
  <si>
    <t>CCORAHUA ZUÑIGA, JUAN</t>
  </si>
  <si>
    <t>ZUÑIGA ROMAN, HERNAN</t>
  </si>
  <si>
    <t>CARDENAS CHACHAIMA, ERASMO</t>
  </si>
  <si>
    <t>BUEZO CCORAHUA, JULIO</t>
  </si>
  <si>
    <t>VILLCAS GUIZADO, MAURICIO</t>
  </si>
  <si>
    <t>PALOMINO CARDENAS, VIRGINIA</t>
  </si>
  <si>
    <t>ARBILDO PALOMINO, HIRMA</t>
  </si>
  <si>
    <t>CHACHAYMA ALTAMIRANO, RAUL</t>
  </si>
  <si>
    <t>CHACHAYMA CCORAHUA, VALENTIN</t>
  </si>
  <si>
    <t>PUGA BECERRA, ALEJO</t>
  </si>
  <si>
    <t>CARDENAS ROJAS, ABEL ALBERTO</t>
  </si>
  <si>
    <t>SERRATO HUAMAN, RTUH</t>
  </si>
  <si>
    <t>QUINTO HINOSTROZA, DELIA YOVANA</t>
  </si>
  <si>
    <t>HUAMAN VASQUEZ, NATIVIDAD</t>
  </si>
  <si>
    <t>PICHIHUA RAMOS, NATALIA</t>
  </si>
  <si>
    <t>PEDRAZA VASQUEZ, MARGARITA</t>
  </si>
  <si>
    <t>NOLASCO PEDRAZA, AYDA</t>
  </si>
  <si>
    <t>REYNAGA ZUÑIGA, MARTHA</t>
  </si>
  <si>
    <t>TRUYENQUE MARQUEZ, LUIZA</t>
  </si>
  <si>
    <t>VASQUEZ UMERES, ROSALIA</t>
  </si>
  <si>
    <t>QUISPE ALVARES, SEGUNDINO</t>
  </si>
  <si>
    <t>CACERES CORRALES, ANA MARIA</t>
  </si>
  <si>
    <t>MOLERO QUISPE, NICOLASA</t>
  </si>
  <si>
    <t>PALOMINO HUAMAN, MARIA</t>
  </si>
  <si>
    <t>VALENZUELA PEDRAZA, MARIA JOSEFA</t>
  </si>
  <si>
    <t>REYNAGA MOLERO, PAULINA</t>
  </si>
  <si>
    <t>VALENZUELA ROJAS, MARCELINA</t>
  </si>
  <si>
    <t>CACERES ROJAS, CRISTOBAL</t>
  </si>
  <si>
    <t>LEON PINARES, MAURO GRIMALDO</t>
  </si>
  <si>
    <t>PEREIRA GONZALES, JULIO</t>
  </si>
  <si>
    <t>HUAMAN AYQUIPA, EDGAR</t>
  </si>
  <si>
    <t>HUAMAN AYQUIPA, ROSA</t>
  </si>
  <si>
    <t>HUACCAICACHACC ESPINOZA, LEONOR</t>
  </si>
  <si>
    <t>ROJAS SERRATO, MERCEDES</t>
  </si>
  <si>
    <t>VIVANCO TORRES, VIRGINIA</t>
  </si>
  <si>
    <t>ROJAS HUAMAN, RUTH</t>
  </si>
  <si>
    <t>TORRES QUISPE, WILBER</t>
  </si>
  <si>
    <t>ROJAS VILLCAS, VICTORIA</t>
  </si>
  <si>
    <t>RAMOS FAJARDO, WILVERT</t>
  </si>
  <si>
    <t>GUTIERREZ PEREIRA, FANY</t>
  </si>
  <si>
    <t>ROJAS SAUÑE, ELIZABETH</t>
  </si>
  <si>
    <t>ESPINOZA GUTIERREZ, ANTONIA</t>
  </si>
  <si>
    <t>GUTIERREZ PALOMINO, ERNESTINA</t>
  </si>
  <si>
    <t>VIVANCO TAIPE, DANIA</t>
  </si>
  <si>
    <t>ESPINOZA MORALES, MARIO</t>
  </si>
  <si>
    <t>MORALES DE ESPINOZA, TORIBIA</t>
  </si>
  <si>
    <t>PEREIRA ÑAHUINMALLMA, ELIO</t>
  </si>
  <si>
    <t>TRUYENQUE TITO, EUGENIA</t>
  </si>
  <si>
    <t>TORRES QUISPE, MARIBEL</t>
  </si>
  <si>
    <t>QUISPE VALER, MABEL</t>
  </si>
  <si>
    <t>OEREIRA  HUACCAICACHAC, EDTIH</t>
  </si>
  <si>
    <t>PEREZ BALDARRAGO, EDTIH</t>
  </si>
  <si>
    <t>REPOLLEDO DE SEGOVIA, VISITACION</t>
  </si>
  <si>
    <t>PEREIRA ROJAS, AYDA</t>
  </si>
  <si>
    <t>CURO PILLACA, VILMA</t>
  </si>
  <si>
    <t>PEREZ BALDARRAGO, CELENDA</t>
  </si>
  <si>
    <t>HUARCAYA ARONI, DONATO</t>
  </si>
  <si>
    <t>LARREA VARGAS, TEOFILO</t>
  </si>
  <si>
    <t>REYNAGA VARGAS, MARCELINO</t>
  </si>
  <si>
    <t>PEREIRA HUAMAN, LEONIDAS</t>
  </si>
  <si>
    <t>FLORES HUAMAN, TIMOTEA</t>
  </si>
  <si>
    <t>CCORIMANYA LEGUIA, SERAPIO</t>
  </si>
  <si>
    <t>BULEJE DE PEREIRA, HERMINIA</t>
  </si>
  <si>
    <t>QUISPE PALOMINO, SANTIAGO</t>
  </si>
  <si>
    <t>DIAZ DE REINAGA, CLAUDIA</t>
  </si>
  <si>
    <t>GUIZADO VILCAS, YANET</t>
  </si>
  <si>
    <t>PEDRAZA DE REPOLLEDO, CRISTINA</t>
  </si>
  <si>
    <t>CAIPANI HUAMAN, OBED</t>
  </si>
  <si>
    <t>REPOLLEDO PEDRAZA, NICANOR</t>
  </si>
  <si>
    <t>HUAMAN PEREYRA, SERGIO</t>
  </si>
  <si>
    <t>CARDENAS BALDARRAGO, CESAR</t>
  </si>
  <si>
    <t>QUISPE PICHIHUA, CECILIO</t>
  </si>
  <si>
    <t>RIVAS CHICLLA, BETTY FLOR</t>
  </si>
  <si>
    <t>PICHIHUA OYOLA, PAULINO</t>
  </si>
  <si>
    <t>QUITO QUISPE, FRANCISCA</t>
  </si>
  <si>
    <t>SORAS CCOPA, JULIAN</t>
  </si>
  <si>
    <t>HUAMAN DE SORAS, FRANCISCO</t>
  </si>
  <si>
    <t>HUAMAN PICHIHUA, NORMA</t>
  </si>
  <si>
    <t>PICHIHUA ALTAMIRANO, JAIME</t>
  </si>
  <si>
    <t>PICHIHUA SOTO, SANTOSA</t>
  </si>
  <si>
    <t>HUASCO OYOLA, SANTOS</t>
  </si>
  <si>
    <t>OSIS ROMERO, TITO RENE</t>
  </si>
  <si>
    <t>DAMIAN QUISPE, VICTORIA</t>
  </si>
  <si>
    <t>SORAS PALOMINO, TEODORA</t>
  </si>
  <si>
    <t>QUISPE HUAYLLA, DELINA</t>
  </si>
  <si>
    <t>QUIJHUA QQUENAYA, BACILIA</t>
  </si>
  <si>
    <t>PICHIHUA HUASCO, VICTOR</t>
  </si>
  <si>
    <t>PICHIHUA LUDEÑA, SIMON PLACIDO</t>
  </si>
  <si>
    <t>QUISPE BARRIENTOS, SALVADOR</t>
  </si>
  <si>
    <t>PICHIHUA GONZALES, DELFINA</t>
  </si>
  <si>
    <t>ARONI CCANCCE, JULIO</t>
  </si>
  <si>
    <t>GONZALES HUAMAN, ANTONIA</t>
  </si>
  <si>
    <t>CHUQUEMAGO SORAS, LUCE</t>
  </si>
  <si>
    <t>SORAS RAMOS, NICANOR</t>
  </si>
  <si>
    <t>RAMOS CARHUAS, SALOMINA</t>
  </si>
  <si>
    <t>PICHIHUA CARRASCO, ISAAC CARLOS</t>
  </si>
  <si>
    <t>ROJAS QUISPE, RITA</t>
  </si>
  <si>
    <t>PICHIHUA DE SORAS, CASIMIRA</t>
  </si>
  <si>
    <t>SOTO QUISPE, MARTA</t>
  </si>
  <si>
    <t>ZUÑIGA CUSI, ROSAURA</t>
  </si>
  <si>
    <t>QUISPE CUSI, SANTOS</t>
  </si>
  <si>
    <t>LUDEÑA SORAS, VICTORIA</t>
  </si>
  <si>
    <t>QUISPE DE CHUQUIMAGO, LOURDES</t>
  </si>
  <si>
    <t>HUAMAN QUISPE, MARIANO</t>
  </si>
  <si>
    <t>COMOS SORAS, MAXIMO</t>
  </si>
  <si>
    <t>HUAMAN SORAS, JESUSA</t>
  </si>
  <si>
    <t>SOTO CARIRE, PABLO</t>
  </si>
  <si>
    <t>CONDORI RODRIGUEZ, JUAN DE DIOS</t>
  </si>
  <si>
    <t>CARHUAS RAMOS, MARIO</t>
  </si>
  <si>
    <t>RAMOS QUISPE, SANTOSA</t>
  </si>
  <si>
    <t>GUILLEN GUIZADO, BEATRIZ</t>
  </si>
  <si>
    <t>CARRASCO CARDENAS, BALVINO</t>
  </si>
  <si>
    <t>OJEDA GUILLEN, NATALIA</t>
  </si>
  <si>
    <t>BORDA AVALOS, CRISELDA CELIA</t>
  </si>
  <si>
    <t>SALAS CALDERON, SATURNINO</t>
  </si>
  <si>
    <t>PEREZ CHACON, AQUELINA TOMASA</t>
  </si>
  <si>
    <t>BORDA DE VILCAS, BENITA</t>
  </si>
  <si>
    <t>LEON ZAMORA, MARIA SALOME</t>
  </si>
  <si>
    <t>ABALOS PEREIRA, TEODORA</t>
  </si>
  <si>
    <t>ZUÑIGA FLORES, ALEJANDRINA</t>
  </si>
  <si>
    <t>SAUÑE CRUZ, GRIMALDA</t>
  </si>
  <si>
    <t>CHUQUIPAY SAUÑE, IRENEO</t>
  </si>
  <si>
    <t>CESPEDES VENTURA DE LLOCCLLA, SEFERINA</t>
  </si>
  <si>
    <t>RIOS AVALOS, SERAFINA</t>
  </si>
  <si>
    <t>RIOS GUTIERREZ, MARCELINA</t>
  </si>
  <si>
    <t>SAUÑE RIOS, PLACIDA</t>
  </si>
  <si>
    <t>LIMEÑO CHUQUIPAY, ERIKA</t>
  </si>
  <si>
    <t>PARDO CARRASCO, FAUSTINO</t>
  </si>
  <si>
    <t>BORDA SAUÑE, CARMEN ROSA</t>
  </si>
  <si>
    <t>AROSTEGUI NAVARRO, MARLENI</t>
  </si>
  <si>
    <t>CESPEDES HUAMPOTOMA, PEDRO</t>
  </si>
  <si>
    <t>VALDERRAMA CARRASCO, ANACLETA</t>
  </si>
  <si>
    <t>RIOS CARDENAS, SANTOS DIONICIO</t>
  </si>
  <si>
    <t>CRUZ SAUÑE, EDUARDA</t>
  </si>
  <si>
    <t>ZAMORA VALDERRAMA, ANA CRISTINA</t>
  </si>
  <si>
    <t>CARDENAS SAUÑE, FAUSTINO</t>
  </si>
  <si>
    <t>SAUÑE CRUZ, ALEJANDRO</t>
  </si>
  <si>
    <t>RIOS OCHOA, VICTORIO</t>
  </si>
  <si>
    <t>RIOS BARDALAMA, PRUDENCIA</t>
  </si>
  <si>
    <t>CRUZ DE CHUQUIPAY, LUISA</t>
  </si>
  <si>
    <t>ZAMORA ORTIZ, MARCELINA</t>
  </si>
  <si>
    <t>CESPEDES BULEJE, LUISA</t>
  </si>
  <si>
    <t>SALAS MIRANDA, MARIA ELENA</t>
  </si>
  <si>
    <t>HURTADO DE MUÑOZ, TIMOTEA</t>
  </si>
  <si>
    <t>RIOS DE CRUZ, VICTORIA</t>
  </si>
  <si>
    <t>MELENDEZ CRUZ, YANETH</t>
  </si>
  <si>
    <t>BORDA CESPEDES, SANTOS</t>
  </si>
  <si>
    <t>HUARIPAUCAR PAUCARHUCA, ANTONIA</t>
  </si>
  <si>
    <t>CCARHUAS SUPANTA, ANDREA</t>
  </si>
  <si>
    <t>OYALA PILLACA, SONIA</t>
  </si>
  <si>
    <t>ARONI TICA, CIRILA</t>
  </si>
  <si>
    <t>VARGAS URPI, TIMOTEA</t>
  </si>
  <si>
    <t>LEON GONZALES, TERESA</t>
  </si>
  <si>
    <t>SIERRA DE GONZALES, VICTORIA</t>
  </si>
  <si>
    <t>ROJAS DE HUARACA, FLORA</t>
  </si>
  <si>
    <t>ROJAS ALCCAHUA, HERMELINDA</t>
  </si>
  <si>
    <t>RAMOS HUARIPAUCAR, BERTHA</t>
  </si>
  <si>
    <t>ALVITES VEGA, MARUJA</t>
  </si>
  <si>
    <t>GONZALES SOLORZANO, GREGORIA MAGNA</t>
  </si>
  <si>
    <t>ARONI GOMEZ, BERNARDINA</t>
  </si>
  <si>
    <t>ALCCAHUA DE ROJAS, DOLORES</t>
  </si>
  <si>
    <t>FLORES ARONI, PERCY</t>
  </si>
  <si>
    <t>LEON DE FLORES, MARGARITA</t>
  </si>
  <si>
    <t>FLORES LEON, TRICELA</t>
  </si>
  <si>
    <t>AROHUILLCA HUAMAN, MARCELINA</t>
  </si>
  <si>
    <t>TAPIA PAUCAR, MARINA</t>
  </si>
  <si>
    <t>ROJAS ALFARO, ISMAEL</t>
  </si>
  <si>
    <t>ARONI VILLACA, EMILIANO</t>
  </si>
  <si>
    <t>ARONI DE HUANCACURI, DARIA</t>
  </si>
  <si>
    <t>CENTENO FLORES, PERCY</t>
  </si>
  <si>
    <t>HUANCACURI ARONI, MARCELINA</t>
  </si>
  <si>
    <t>FLORES NAIVARES, TOMAS</t>
  </si>
  <si>
    <t>CENTENO ROJAS, VIRGILIO</t>
  </si>
  <si>
    <t>LEON ZUÑIGA, YESICA</t>
  </si>
  <si>
    <t>CCOSCCO HUARHUA, LEONARDA</t>
  </si>
  <si>
    <t>VEGA CONTRERAS, MAXIMO</t>
  </si>
  <si>
    <t>LEON URQUIZO, FLORA</t>
  </si>
  <si>
    <t>LEON ROJAS, RAIDA</t>
  </si>
  <si>
    <t>RAMOS ARONI, JUANITA</t>
  </si>
  <si>
    <t>ALTAMIRANO DE TICA, EUSEBIA</t>
  </si>
  <si>
    <t>ALBITES HUARACA, JORGE JOSE</t>
  </si>
  <si>
    <t>GONZALES ROJAS, ALBINO</t>
  </si>
  <si>
    <t>CENTENO FLORES, OLINDA MARIBEL</t>
  </si>
  <si>
    <t>FLORES DE CENTENO, FRISOJA</t>
  </si>
  <si>
    <t>CARIBE ALTAMIRANO, LUSCARDA</t>
  </si>
  <si>
    <t>FRANCO DE LEON, EUSEBIA</t>
  </si>
  <si>
    <t>GOMEZ MELENDES, SANTOS</t>
  </si>
  <si>
    <t>CASQUIÑO HUANCACURI, LUCY</t>
  </si>
  <si>
    <t>HUAMAN DE LLANCARI, TEODORA</t>
  </si>
  <si>
    <t>GONZALES DE CENTENO, VICENTA ANICETA</t>
  </si>
  <si>
    <t>HUASCO OYOLA, HECTOR ELIO</t>
  </si>
  <si>
    <t>GONZALES FRANCO, ROCIO KATHERINE</t>
  </si>
  <si>
    <t>CONTRERAS GONZALES, ALICIA</t>
  </si>
  <si>
    <t>SAUÑE GONZALES, FRANCISCA</t>
  </si>
  <si>
    <t>HURTADO TAPIA, MARCELINA</t>
  </si>
  <si>
    <t>TICA LOPEZ, DINA</t>
  </si>
  <si>
    <t>URRUTIA JURO, CARLOS</t>
  </si>
  <si>
    <t>CENTENO ROJAS, GRITL</t>
  </si>
  <si>
    <t>ROJAS PAUCAR, MARIBEL</t>
  </si>
  <si>
    <t>GOMEZ SARMIENTO, DIANET</t>
  </si>
  <si>
    <t>GOMEZ DE OCAMPO, AURELIA</t>
  </si>
  <si>
    <t>GONZALES DE LEON, MARCELINA</t>
  </si>
  <si>
    <t>LEON NAYVARES, CELSTINA</t>
  </si>
  <si>
    <t>MINA CARLOS, ROSA LUZ</t>
  </si>
  <si>
    <t>CASQUIÑO PAUCAR, MERCEDES</t>
  </si>
  <si>
    <t>SORIA AGUILAR, AGRIPINA</t>
  </si>
  <si>
    <t>PEDRAZA NOLASCO, VICTORIA</t>
  </si>
  <si>
    <t>TIRADO MELENDEZ, MAXIMO</t>
  </si>
  <si>
    <t>VILLCAS AROSTEGUI, MODESTA</t>
  </si>
  <si>
    <t>CHUQUIPAY TENCCO, PAULINA</t>
  </si>
  <si>
    <t>AROSTEGUI SOCA, REYNA</t>
  </si>
  <si>
    <t>ORTEGA DE CENTENO, JULIA</t>
  </si>
  <si>
    <t>VILLEGAS DE GUIZADO, VICTORIA</t>
  </si>
  <si>
    <t>CENTENO ORTEGA, ANA FLOR</t>
  </si>
  <si>
    <t>QUINTANA DE PAMPAS, MARIA EUFEMIA</t>
  </si>
  <si>
    <t>PALMA SOCA, EPIFANIA</t>
  </si>
  <si>
    <t>ROMANI DE SAHUÑE, SATURNINA</t>
  </si>
  <si>
    <t>CHUQUIPAY TENCCO, BASILIO</t>
  </si>
  <si>
    <t>SOCA TALAVERANO, ISAAC</t>
  </si>
  <si>
    <t>PAMPAS QUINTANA, MARIA ANTONIETA</t>
  </si>
  <si>
    <t>NOLASCO BERNAOLA, BERNARDINA</t>
  </si>
  <si>
    <t>CRUZ AGUILAR, SEFERINA</t>
  </si>
  <si>
    <t>CARRASCO SOCA, JAVIR</t>
  </si>
  <si>
    <t>DIAZ CAGHUNA, LAZARINA</t>
  </si>
  <si>
    <t>VEGA PALOMINO, JULIANA</t>
  </si>
  <si>
    <t>ORIHUELA VEGA, MARIANO EXALTACION</t>
  </si>
  <si>
    <t>ORTIZ VEGA, LEONCIO</t>
  </si>
  <si>
    <t>AROSTEGUI PALOMINO, GRIMALDO</t>
  </si>
  <si>
    <t>VEGA VERA, JOHNNY MELANIO</t>
  </si>
  <si>
    <t>VERA DE LA VEGA, GREGORIA</t>
  </si>
  <si>
    <t>RODRIGUEZ CASTRO, FACUNDO</t>
  </si>
  <si>
    <t>AGUILAR VEGA, VICTOR</t>
  </si>
  <si>
    <t>CARDENAS ORIHUELA, FRANCISCA</t>
  </si>
  <si>
    <t>CRUZ AGUILAR, MARCIAL GENARO</t>
  </si>
  <si>
    <t>VICENCIO ARIAS, VILMA CRISTINA</t>
  </si>
  <si>
    <t>ORIHUELA RAMOS, VICTORIA</t>
  </si>
  <si>
    <t>BORDA AGUILAR, MARINA</t>
  </si>
  <si>
    <t>CARRION ORIHUELA, FELIX SILVESTRE</t>
  </si>
  <si>
    <t>ROJAS ARONE, ROSA</t>
  </si>
  <si>
    <t>CHONQUICCAHUA  HUAMANI, ELIZABETH</t>
  </si>
  <si>
    <t>ANTABAMBA</t>
  </si>
  <si>
    <t>CCOSCCO LLACTAHUAMANI, MARILUZ</t>
  </si>
  <si>
    <t>CHACCARA VERA, ERASMO</t>
  </si>
  <si>
    <t>HUACHACA BUENDIA, FREDY</t>
  </si>
  <si>
    <t>MENDOZA CORDOVA, RUDY</t>
  </si>
  <si>
    <t>NARVAES CHACARA, LIDER</t>
  </si>
  <si>
    <t>NARVAEZ VILCA, JORGE</t>
  </si>
  <si>
    <t>TITO QUISPE, SABINA JULIA</t>
  </si>
  <si>
    <t>HUAMANGA CONDE, JULIA MARIA</t>
  </si>
  <si>
    <t>NARVAEZ BUSTINZA, FLORENTINA</t>
  </si>
  <si>
    <t>DELGADO BONDIA, YOLANDA</t>
  </si>
  <si>
    <t>HUACHACA PAIRA, AQUILINA</t>
  </si>
  <si>
    <t>SEVILLANO CHECCORI, ROXANA</t>
  </si>
  <si>
    <t>BUSTINZA AYHUA, NATIVIDAD</t>
  </si>
  <si>
    <t>HUAMANI TAIPE, FELICIANO</t>
  </si>
  <si>
    <t>ANCCO HUACHACA, VALENTINA</t>
  </si>
  <si>
    <t>DLORIDO UTANI, SANTUSA JULIA</t>
  </si>
  <si>
    <t>MAMANI RAMOS, VICTORIA JULIA</t>
  </si>
  <si>
    <t>TRUJILLO NARVAEZ, LUCIANO</t>
  </si>
  <si>
    <t>PALOMINO ARANGO, GRIMALDO</t>
  </si>
  <si>
    <t>MENDOZA MONTESINO, FAVIO RAUL</t>
  </si>
  <si>
    <t>TAYPECAHUANA HUARANCCA, PILAR MARINA</t>
  </si>
  <si>
    <t>ALVINO SOTO, EUSTAQUIA</t>
  </si>
  <si>
    <t>AYHUA SOTO, VICTORIA</t>
  </si>
  <si>
    <t>LOPEZ DEL MAR, DULIA</t>
  </si>
  <si>
    <t>CASAVERDE ZELA, EMILIA</t>
  </si>
  <si>
    <t>MONTESINOS ARONI, MARIANO</t>
  </si>
  <si>
    <t>CONTRERAS DE CHACCARA, CARMELA</t>
  </si>
  <si>
    <t>ESPINOZA CONDORI, ELSA</t>
  </si>
  <si>
    <t>CACERES ESCOBAR, ARTURO</t>
  </si>
  <si>
    <t>LOPEZ LICERAS, PAULINA</t>
  </si>
  <si>
    <t>SOLIS ALVINO, SABINA</t>
  </si>
  <si>
    <t>ZELA SOTO, ROSAS FRANCISCO</t>
  </si>
  <si>
    <t>LICERAS NARVAEZ, JUANA</t>
  </si>
  <si>
    <t>COLLADO CHECCLLO, BENITO</t>
  </si>
  <si>
    <t>FELIX GOMEZ, JUAN PABLO</t>
  </si>
  <si>
    <t>LEON APAZA, PABLO</t>
  </si>
  <si>
    <t>LICERAS ASTO, EMERSON</t>
  </si>
  <si>
    <t>HUARCAYA GUILLEN, MARLENY</t>
  </si>
  <si>
    <t>ROSALES NARVAEZ, ANTONIA</t>
  </si>
  <si>
    <t>BELLIDO ASTO, FAUSTINA</t>
  </si>
  <si>
    <t>DAVILA DIAS, SERGIO</t>
  </si>
  <si>
    <t>TORRES MACHACA DE ESPINOZA, SABINA</t>
  </si>
  <si>
    <t>HUACHACA BRAVO, JUAN DE DIOS</t>
  </si>
  <si>
    <t>HUISA DELGADO, GRACIELA</t>
  </si>
  <si>
    <t>FELIX GOMEZ, OCTAVIO MARCOS</t>
  </si>
  <si>
    <t>ESPINOZA ROJAS, MARIA</t>
  </si>
  <si>
    <t>HUAMANGA PAIRA, JUANA</t>
  </si>
  <si>
    <t>VERA NAVEDA, MARIA</t>
  </si>
  <si>
    <t>VERA CAHUANA, MAXIMO NICOLAS</t>
  </si>
  <si>
    <t>NARVAEZ DE MENDOZA, DAMIANA</t>
  </si>
  <si>
    <t>BENITES DE VILCA, LUISA</t>
  </si>
  <si>
    <t>ROSALES PAIRA, AYDE</t>
  </si>
  <si>
    <t>VILCA SERRANO, FELIPE</t>
  </si>
  <si>
    <t>CAHUANA LOAYZA, YSABEL</t>
  </si>
  <si>
    <t>ANAMARIA LOAYSA, ROMALDA CATALINA</t>
  </si>
  <si>
    <t>VALENZUELA CHOQUETAIPE, COSME DAMIAN</t>
  </si>
  <si>
    <t>AULLA SIERRA, INES</t>
  </si>
  <si>
    <t>COLLADO ARAGON, BENITO IGNACIO</t>
  </si>
  <si>
    <t>CCALLNE MENDOZA, ANITA</t>
  </si>
  <si>
    <t>ESCOBAR OLARTE, APARICIO</t>
  </si>
  <si>
    <t>LOPEZ CORDOVA, FABIANA</t>
  </si>
  <si>
    <t>SANCHES BUSTINZA, TORIBIA</t>
  </si>
  <si>
    <t>ASTO CHOQUECAHUANA, SAMUEL</t>
  </si>
  <si>
    <t>BUSTINZA SOLIS, MICAELA</t>
  </si>
  <si>
    <t>BUSTINZA ALVINO, MARIA MATILDE</t>
  </si>
  <si>
    <t>CHOQUE CAHUANA, SISARA</t>
  </si>
  <si>
    <t>FELIX BENITES, CLAUDIA</t>
  </si>
  <si>
    <t>CHECCLLO BUENDIA, JUSTO LUCAS</t>
  </si>
  <si>
    <t>VILLAVICENCIO MENDOZA, SEBASTIANA</t>
  </si>
  <si>
    <t>LOPEZ CORDOVA, RAFAEL</t>
  </si>
  <si>
    <t>LOPEZ CORDOVA, JOSE DOMINGO</t>
  </si>
  <si>
    <t>CHANCCO CONDORI, ANITA</t>
  </si>
  <si>
    <t>URQUIZO BUSTINZA, PRESENTACION</t>
  </si>
  <si>
    <t>BUSTINZA QUISPE, MIGUEL HUMBERTO</t>
  </si>
  <si>
    <t>CHACCARA PAYRA, LUCIA</t>
  </si>
  <si>
    <t>UTANI ASTO, IGNACIA</t>
  </si>
  <si>
    <t>BUSTINZA SANTI, GREGORIO</t>
  </si>
  <si>
    <t>PONCE DE LEON MENDOZA, ANA</t>
  </si>
  <si>
    <t>ALCCAHUAMAN DE LOPEZ, MAXIMILIANA</t>
  </si>
  <si>
    <t>TAMATA LOPEZ, ALEXANDER</t>
  </si>
  <si>
    <t>CAHUANA LOAYZA, CIPRIANO</t>
  </si>
  <si>
    <t>HUISA PORTUGAL, AURELIA</t>
  </si>
  <si>
    <t>ASTO DELGADO, JULIO</t>
  </si>
  <si>
    <t>GUILLEN BUSTINZA, MARIA MADGALENA</t>
  </si>
  <si>
    <t>PORTILLO PAREDES, ENOVIA</t>
  </si>
  <si>
    <t>BUSTINZA SANTI, LUCIO</t>
  </si>
  <si>
    <t>CAHUANA NOVEDA, LUZMILA</t>
  </si>
  <si>
    <t>GASPAR GONZALES, VICENTINA</t>
  </si>
  <si>
    <t>CHACCARA AYQUIPA, MARGARITA</t>
  </si>
  <si>
    <t>BUENDIA VERA, GLADIS JUANA</t>
  </si>
  <si>
    <t>LOPEZ BONDIA, ENRRIQUETA</t>
  </si>
  <si>
    <t>CHACCARA PAREJA, LEONARDO</t>
  </si>
  <si>
    <t>LOPEZ SOLIS VDA DE HUARCAYA, FELICITAS</t>
  </si>
  <si>
    <t>ASTO DELGADO, JUANA SABINA</t>
  </si>
  <si>
    <t>ALATA BRAVO, DALMESIO</t>
  </si>
  <si>
    <t>BUSTINZA BARRA, RUPERTO</t>
  </si>
  <si>
    <t>ZAMALLOA HUILLCA, GUILLERMINA ESCOLASTICA</t>
  </si>
  <si>
    <t>POCCO HUAMANI, FELISCIANA</t>
  </si>
  <si>
    <t>ALEGRIA GOMEZ, DOLORES</t>
  </si>
  <si>
    <t>MAMANI GOMEZ, SOLEDAD</t>
  </si>
  <si>
    <t>LOPEZ NARVAEZ, DELIA</t>
  </si>
  <si>
    <t>MADONIO HUAYNA, ISABEL</t>
  </si>
  <si>
    <t>ESPINOZA CONTRERAS, VALENTINA</t>
  </si>
  <si>
    <t>MENDOZA VALENZUELA, TOMASA DELIA</t>
  </si>
  <si>
    <t>ARCOS DELGADO, JULIA</t>
  </si>
  <si>
    <t>CHANCAHUAÑA HUARHUA, JUANA PILAR</t>
  </si>
  <si>
    <t>BONDIA CHOQUETAYPE, MARIA</t>
  </si>
  <si>
    <t>NAVEDA VILLAVICENCIO, WILBER</t>
  </si>
  <si>
    <t>HUILLCA CHECCLLO, GUALBERTO</t>
  </si>
  <si>
    <t>HUILLCA ESPINOZA, AURELIO</t>
  </si>
  <si>
    <t>HUILLCA ALVINO, LEONARDA</t>
  </si>
  <si>
    <t>HUILLCA ESPINOZA, BEATRIZ</t>
  </si>
  <si>
    <t>ESPINOZA LOPEZ, ALFREDO</t>
  </si>
  <si>
    <t>SULLO CHANCCO, FEDERICO</t>
  </si>
  <si>
    <t>CHIPA GUILLEN, EXALTACION</t>
  </si>
  <si>
    <t>CAHUANA SERRANO, CARMEN</t>
  </si>
  <si>
    <t>FELIX CASTILLO, APARICIA</t>
  </si>
  <si>
    <t>ASTO DELGADO, SATURNINA</t>
  </si>
  <si>
    <t>NARVAEZ LOPEZ, MARIA CLEOFE</t>
  </si>
  <si>
    <t>SULLO CHIPANE, FELICITAS</t>
  </si>
  <si>
    <t>LICERAS TORRES, NORMA</t>
  </si>
  <si>
    <t>HUACHACA CAHUANA, APOLINARIO</t>
  </si>
  <si>
    <t>ESPINOZA RODRIGUEZ, DAVID</t>
  </si>
  <si>
    <t>LLACTAHUAMANI SOLORZANO, ELIZABETH</t>
  </si>
  <si>
    <t>LOPEZ ALCAYHUAMAN, SILVIA</t>
  </si>
  <si>
    <t>LLACTAHUAMANI SOLORZANO, DELMICIA</t>
  </si>
  <si>
    <t>MAYHUIRE FELIX, GLADYS DELFINA</t>
  </si>
  <si>
    <t>LOPEZ NARVAEZ, ADA</t>
  </si>
  <si>
    <t>ZAMALLOA OSORIO, HILDAURA MARCELINA</t>
  </si>
  <si>
    <t>SOLIS ACOSTUPA VDA. DE TINTAYA, ROSA</t>
  </si>
  <si>
    <t>ALEGRIA CORDOVA, TERESA</t>
  </si>
  <si>
    <t>CCALLME FELIX, LUZ</t>
  </si>
  <si>
    <t>BUSTINZA DE NAVEDA, HERMENEGILDA</t>
  </si>
  <si>
    <t>LOPEZ CHOHUANCA, MARIA MARUJA</t>
  </si>
  <si>
    <t>BUSTINZA PAREJA, AURELIO</t>
  </si>
  <si>
    <t>CCOSCCO LUNA, DANIEL</t>
  </si>
  <si>
    <t>ALVINO DE CASTILLO, ANTONIA</t>
  </si>
  <si>
    <t>NARVAEZ BUSTINZA, MARTA</t>
  </si>
  <si>
    <t>NAVEDA NARVAEZ, DAMASO</t>
  </si>
  <si>
    <t>CHECCORI BUSTINZA, EXALTACION</t>
  </si>
  <si>
    <t>FELIX CASTURINA, SERGIO VICTOR</t>
  </si>
  <si>
    <t>HUARNUA GOMEZ, JOSEFINA</t>
  </si>
  <si>
    <t>VALENZUELA IRIARTE, BEATRIZ</t>
  </si>
  <si>
    <t>VILLAVICENCIO BRAVO, ANA MARIA PATRICIA</t>
  </si>
  <si>
    <t>ZAMALLOA VILCA, TIMOTEA</t>
  </si>
  <si>
    <t>BUENDIA DE BONDIA, MARCELA</t>
  </si>
  <si>
    <t>LOPEZ ALVARES, DEBORA ALICIA</t>
  </si>
  <si>
    <t>ARONI BONDIA, JUAN PABLO</t>
  </si>
  <si>
    <t>VALENZUELA CHOQUETAIPE, LAUREANO</t>
  </si>
  <si>
    <t>SURQUISLLA CCAPA, YANETH</t>
  </si>
  <si>
    <t>LOPEZ NAVEDA, EUGENIO</t>
  </si>
  <si>
    <t>CHACCARA PEREZ, HILARIA</t>
  </si>
  <si>
    <t>GOMEZ VALENZUELA, PONCEANO</t>
  </si>
  <si>
    <t>PORTILLO PAREJA, CALISTA VILMA</t>
  </si>
  <si>
    <t>DELGADO PORTILLO, FIDELIA</t>
  </si>
  <si>
    <t>DELGADO SERRANO, ANTONIA</t>
  </si>
  <si>
    <t>ASTURIMA DELGADO, LIBIA</t>
  </si>
  <si>
    <t>ANCCO CHECCLLO, BETY</t>
  </si>
  <si>
    <t>AYMA POMA, AGRIPINA</t>
  </si>
  <si>
    <t>SOLIS CACERES, ALBERTO</t>
  </si>
  <si>
    <t>GOMEZ APAZA, AURORA</t>
  </si>
  <si>
    <t>BUSTINZA FELIX, MANUEL</t>
  </si>
  <si>
    <t>MENDOZA MORALES, ROGERS</t>
  </si>
  <si>
    <t>CORDOVA COLLADO, IRENE</t>
  </si>
  <si>
    <t>HUACHACA DIAS, LUISA</t>
  </si>
  <si>
    <t>NARVAEZ PORTILLO, GREGORIO</t>
  </si>
  <si>
    <t>CORDOVA LOPEZ, AMILCAR</t>
  </si>
  <si>
    <t>CCOLME FELIX, DORIS</t>
  </si>
  <si>
    <t>ALVINO CHOQUECAHUANA, CIRIANA</t>
  </si>
  <si>
    <t>BRAVO DELGADO, ENRIQUE OTTO</t>
  </si>
  <si>
    <t>BRAVO COLLADO, LORENZA</t>
  </si>
  <si>
    <t>VALENZUELA LOPEZ, FROILAN</t>
  </si>
  <si>
    <t>BRAVO YAPO, ELIZABETH</t>
  </si>
  <si>
    <t>CHACARA HUAÑAHUE, SONIA</t>
  </si>
  <si>
    <t>HUILLCA VERA, ROXANA</t>
  </si>
  <si>
    <t>BUSTINZA HUAMANI, ANTONIA NANCI</t>
  </si>
  <si>
    <t>NAVEDA DELGADO, FROILAN PLACIDO</t>
  </si>
  <si>
    <t>BAZAN MEZA, NATALY</t>
  </si>
  <si>
    <t>LOPEZ AYMARA, CIRILA</t>
  </si>
  <si>
    <t>PAIRA PACCARONI, EDGAR</t>
  </si>
  <si>
    <t>VERA BRAVO, ELIZABETH</t>
  </si>
  <si>
    <t>VALENZUELA CONUMA, FELICITAS IRMA</t>
  </si>
  <si>
    <t>FELIX VERA, GERTRUDES</t>
  </si>
  <si>
    <t>ANGELINO FELIX, MARIA</t>
  </si>
  <si>
    <t>VALENZUELA BACILIO, VALENTINA</t>
  </si>
  <si>
    <t>PACHECO CHACCARA, FAUSTINA</t>
  </si>
  <si>
    <t>BUSTINZA PAREJA, DORIS CARMEN</t>
  </si>
  <si>
    <t>SOLIS TORRES, EGIDIO JUAN</t>
  </si>
  <si>
    <t>ESPINOZA AYHUA, ESTEBAN</t>
  </si>
  <si>
    <t>VERA HUACHACA, MARITZA  RUTH</t>
  </si>
  <si>
    <t>SOLIS CORDOVA, ALEJANDRINA</t>
  </si>
  <si>
    <t>ANGELINO POMA, JAKELIN</t>
  </si>
  <si>
    <t>CHACCARA AYQUIPA, MARIA ROSA</t>
  </si>
  <si>
    <t>DELGADO CAHUANA, DELIA</t>
  </si>
  <si>
    <t>SABAINO</t>
  </si>
  <si>
    <t>MENDOZA COLLADO, JUANA</t>
  </si>
  <si>
    <t>NINA DE VALENZUELA, PRUDENCIA</t>
  </si>
  <si>
    <t>QUISPETITO NARVAEZ, NIEMI</t>
  </si>
  <si>
    <t>HUAQUIRCA</t>
  </si>
  <si>
    <t>ARONI ROSALES, TOMASA</t>
  </si>
  <si>
    <t>QUISPE CHIPANA, WENCESLAO</t>
  </si>
  <si>
    <t>ZELA AMPUERO, JUSTINA</t>
  </si>
  <si>
    <t>CONDOR AYQUI, ERNESTINA</t>
  </si>
  <si>
    <t>BARRIENTOS FLORIDO, VANESA</t>
  </si>
  <si>
    <t>ARONE DE LIMA, BELLO</t>
  </si>
  <si>
    <t>ARONI HUARHUA, NELIDA</t>
  </si>
  <si>
    <t>BELLIDO BUENDIA, DANIEL</t>
  </si>
  <si>
    <t>PEÑA CHAUCA, YESICA</t>
  </si>
  <si>
    <t>ACHINQUIPA SEÑO, EXALTACION</t>
  </si>
  <si>
    <t>HUARANCCA AMPUERO, EMILIO</t>
  </si>
  <si>
    <t>HUAMAN ROJAS, MARCELINA</t>
  </si>
  <si>
    <t>MANUEL TAYPE, RUT ERIKA</t>
  </si>
  <si>
    <t>ZANABRIA CONTRERAS, MIGUEL</t>
  </si>
  <si>
    <t>ZANABRIA CHAUCA, SANTOSA DOROTEA</t>
  </si>
  <si>
    <t>ZANABRIA AMPUERO, CESAR A.</t>
  </si>
  <si>
    <t>ZANABRIA PACCO, JUANITA</t>
  </si>
  <si>
    <t>PEREZ HUAMANI, LUCINDA</t>
  </si>
  <si>
    <t>ROJAS QUISPE, SOLEDAD</t>
  </si>
  <si>
    <t>AMPUERO SUAREZ, LUCAS</t>
  </si>
  <si>
    <t>SIHUINCHA VALDERRAMA, VISITACION</t>
  </si>
  <si>
    <t>VALDERRAMA CONTRERAS, EUDES EMILDA</t>
  </si>
  <si>
    <t>AMPUERO ZANABRIA, CIRILO</t>
  </si>
  <si>
    <t>MANUEL FIERRO, CELIA</t>
  </si>
  <si>
    <t>VALDERRAMA AMPUERO, FLORENTINO</t>
  </si>
  <si>
    <t>VALDERRAMA CENTENO, YOLANDA</t>
  </si>
  <si>
    <t>ESCALANTE VALDERRAMA, SEMIRAMIDES</t>
  </si>
  <si>
    <t>CHOQUECAHUANA SUNQUILLPO, ODELON</t>
  </si>
  <si>
    <t>AYQUIPA ZANABRIA, VIRGINIA SOLEDAD</t>
  </si>
  <si>
    <t>HUILLCA SUNQUILLPO, ALEJA</t>
  </si>
  <si>
    <t>LOPINTA ROJAS, GREGORIO</t>
  </si>
  <si>
    <t>SUNQUILLPA AMPUERO, MAGDALENA</t>
  </si>
  <si>
    <t>CUELLAR ZANABRIA, MANUEL</t>
  </si>
  <si>
    <t>VILLAVICENCIO FUENTES, JESUS</t>
  </si>
  <si>
    <t>CHACCARA CONTRERAS, LUIS</t>
  </si>
  <si>
    <t>LOPINTA SULLCA, JAVIER</t>
  </si>
  <si>
    <t>SIHUINCA HUAMANI, MADELENY</t>
  </si>
  <si>
    <t>SUNQUILLPO CONTRERAS, ROMULO</t>
  </si>
  <si>
    <t>CONTRERAS GARATE, GREGORIO</t>
  </si>
  <si>
    <t>AYQUIPA PEREZ, GREGORIO</t>
  </si>
  <si>
    <t>AYALA LOAYZA, TEOFILA</t>
  </si>
  <si>
    <t>HUILCA ZANABRIA, SARA</t>
  </si>
  <si>
    <t>PACCO ZANABRIA, GILBERTO</t>
  </si>
  <si>
    <t>CHOQUE CONTRERAS, TADEO</t>
  </si>
  <si>
    <t>SANCHEZ DE GUERRERO, ELIA</t>
  </si>
  <si>
    <t>MENESES DE ALVAREZ, CANDELARIA</t>
  </si>
  <si>
    <t>MANCILLA USAQUI, VELINDA MARCOSA</t>
  </si>
  <si>
    <t>TAYPE ALVAREZ, MARY LUZ</t>
  </si>
  <si>
    <t>SORIA DE DONGO, ROSARIO MERCEDES</t>
  </si>
  <si>
    <t>OSORIO BUSTINZA, DIANA</t>
  </si>
  <si>
    <t>HUARCAYA AYHUA, CARMEN ROSA</t>
  </si>
  <si>
    <t>JUAN ESPINOZA MEDRANO</t>
  </si>
  <si>
    <t>CAHUANA SEGOVIA, JULIANA BRIGIDA</t>
  </si>
  <si>
    <t>DONGO USAQUI, INES</t>
  </si>
  <si>
    <t>GUERRERO SORIA, JUSTINA</t>
  </si>
  <si>
    <t>ASTO DE ORTEGA, LEONARDA</t>
  </si>
  <si>
    <t>ASTO ALVAREZ, DOMINGA</t>
  </si>
  <si>
    <t>ASTO SUAREZ, JUAN</t>
  </si>
  <si>
    <t>DONGO HUARCAYA, SANTIAGO</t>
  </si>
  <si>
    <t>JUAREZ JUYO, CARLENY</t>
  </si>
  <si>
    <t>ORTEGA SUAREZ, VENCESLADA</t>
  </si>
  <si>
    <t>DONGO DE SEGOVIA, LUCIA SIMONA</t>
  </si>
  <si>
    <t>CONTRERAS DE ASTO, CAYETANA</t>
  </si>
  <si>
    <t>CONDOR CHAVEZ, HILDA VICTORIA</t>
  </si>
  <si>
    <t>CAHUANA GUERRERO, BRAULIA</t>
  </si>
  <si>
    <t>CAHUANA ANGELINO, BELEN</t>
  </si>
  <si>
    <t>ALVAREZ MENESES, PEDRO</t>
  </si>
  <si>
    <t>NINA CCOPA, AMILDAD</t>
  </si>
  <si>
    <t>DONGO CAHUANA, SONIA</t>
  </si>
  <si>
    <t>MAMANI CHECYA, EULALIA</t>
  </si>
  <si>
    <t>VASQUEZ DE ROJAS, JULIA EDUVIGES</t>
  </si>
  <si>
    <t>MAQQUE DE HUISA, MARIA</t>
  </si>
  <si>
    <t>ZELA PANIURA, FLORA</t>
  </si>
  <si>
    <t>SANCHEZ DE HUAYCHO, RAQUEL</t>
  </si>
  <si>
    <t>QUINO MANUEL, SATURNINA</t>
  </si>
  <si>
    <t>GUTIERREZ MAYHUIRI, DEYSI PLACIDA</t>
  </si>
  <si>
    <t>PANIURA LEDESMA, SERGIO</t>
  </si>
  <si>
    <t>ROJAS ZELA, ANASTACIO</t>
  </si>
  <si>
    <t>POCCO CHIPANA, SOFIA</t>
  </si>
  <si>
    <t>MENESES USAQUI, GABINA</t>
  </si>
  <si>
    <t>ROJAS MIRAYA, MARTHA</t>
  </si>
  <si>
    <t>ROJAS DE TAIPE, ENRIQUETA</t>
  </si>
  <si>
    <t>VERA MALDONADO, FRANKLIN</t>
  </si>
  <si>
    <t>LEDESMA ROJAS, MARIO</t>
  </si>
  <si>
    <t>CONTRERAS SANCHEZ, MARIA ISABEL</t>
  </si>
  <si>
    <t>HUANCARAY</t>
  </si>
  <si>
    <t>PANIURA CONTRERAS, PEDRO NOLASCO</t>
  </si>
  <si>
    <t>PACHACONAS</t>
  </si>
  <si>
    <t>PANIURA HUAYHUA, JANET</t>
  </si>
  <si>
    <t>CONTRERAS CALLA, AYAR</t>
  </si>
  <si>
    <t>CONTRERAS HUAYHUA, MELITON</t>
  </si>
  <si>
    <t>FERNANDEZ PANIURA, GRIMALDA</t>
  </si>
  <si>
    <t>GIBAJA PANIURA, VERONICA</t>
  </si>
  <si>
    <t>CONTRERAS QUISPE, EMILIANO</t>
  </si>
  <si>
    <t>CASTAÑEDA VILLAROEL, TOMASA AQUILINA</t>
  </si>
  <si>
    <t>AYALA LOAYZA, CELIA</t>
  </si>
  <si>
    <t>RINCON CAMARGO, EDUARDO</t>
  </si>
  <si>
    <t>FLORES DE CARRASCO, BENANCIA</t>
  </si>
  <si>
    <t>QUIVIO INCA, FORTUNATA</t>
  </si>
  <si>
    <t>CALLA CONTRERAS, ANGELICA</t>
  </si>
  <si>
    <t>HUALLA ALANOCA, LUZMILA</t>
  </si>
  <si>
    <t>VILLARROEL ACOSTUPA, LITA</t>
  </si>
  <si>
    <t>MENDOZA DE LLICAHUH, DOROTEA</t>
  </si>
  <si>
    <t>INCA QUISPE, BEATRIZ</t>
  </si>
  <si>
    <t>MOREANO SANCHEZ, MELQUEADES</t>
  </si>
  <si>
    <t>MOREANO SIERRA, LIDA</t>
  </si>
  <si>
    <t>SOEL CAMARGO, MAXIMO</t>
  </si>
  <si>
    <t>MOREANO SANCHEZ, ERIBERTO</t>
  </si>
  <si>
    <t>TAPIA MORAYA, CIRILO</t>
  </si>
  <si>
    <t>VILLENA LOAYZA, JUANA PAOLA</t>
  </si>
  <si>
    <t>SALAZAR SANCHEZ, YENE</t>
  </si>
  <si>
    <t>PANIURA HUAYHUA, MERCEDES</t>
  </si>
  <si>
    <t>TAPIA CORDOVA, VICTORIA</t>
  </si>
  <si>
    <t>CASTAÑEDA LUNA, ENCARNACION</t>
  </si>
  <si>
    <t>URFANO MENDOZA, ESTEFA LIDIA</t>
  </si>
  <si>
    <t>MACHACCA DE ROMAN, DOLORES</t>
  </si>
  <si>
    <t>BRISEÑO CRUZ, ANA</t>
  </si>
  <si>
    <t>SANCHEZ TARAPAQUE, VENANCIO</t>
  </si>
  <si>
    <t>BRICE¥O CRUZ, JOEL</t>
  </si>
  <si>
    <t>CONTRERAS DE MENDOZA, DOROTEA GREGORIA</t>
  </si>
  <si>
    <t>RINCON LUNA, BERTHA</t>
  </si>
  <si>
    <t>CORDOVA TAPIA, MELQUIADES</t>
  </si>
  <si>
    <t>SANCHEZ CALLA, SALVADORA</t>
  </si>
  <si>
    <t>EL ORO</t>
  </si>
  <si>
    <t>AMPUERO MENDOZA, NANCY</t>
  </si>
  <si>
    <t>TAIPE HUAMANI, EVA ALICIA</t>
  </si>
  <si>
    <t>CALLA CCAMACCA, JUSTINA</t>
  </si>
  <si>
    <t>BUSTINZA BACILIO, VIRGINIA</t>
  </si>
  <si>
    <t>AMPUERO CONTRERAS, ESTEBAN</t>
  </si>
  <si>
    <t>PANCORBO PAREJA, MODESTA</t>
  </si>
  <si>
    <t>VILLAVICENCIO GUARDIA, RUBEN</t>
  </si>
  <si>
    <t>VALDIVIA OLAZABAL, ISABEL</t>
  </si>
  <si>
    <t>VELASQUEZ BRAVO, COSME</t>
  </si>
  <si>
    <t>SALAS PIMENTEL, JORGE</t>
  </si>
  <si>
    <t>FLORES CHANCAHUANA, HONORATA</t>
  </si>
  <si>
    <t>PACCO GONZALES, AMALIA AVELINA</t>
  </si>
  <si>
    <t>SERRANO BARRIENTOS, ALEJANDRO</t>
  </si>
  <si>
    <t>LOPEZ VASQUEZ, AMELIA</t>
  </si>
  <si>
    <t>MENDOZA PANIURA, LAZARO</t>
  </si>
  <si>
    <t>QUISPE MEDRANO, AQUINA</t>
  </si>
  <si>
    <t>MENDOZA GUTIERREZ, DEDICACION</t>
  </si>
  <si>
    <t>MAYHUIRE SILVESTRE, SALOMINA</t>
  </si>
  <si>
    <t>TAIPE ALCA, JUAN</t>
  </si>
  <si>
    <t>CCARAPA GUTIERREZ, ADRIAN BELTRAN</t>
  </si>
  <si>
    <t>MIRAYA MANUEL, PABLO</t>
  </si>
  <si>
    <t>CHANCAHUAÑA GONZALES, MARTHA</t>
  </si>
  <si>
    <t>GONZALES GUTIERREZ, HECTOR NEMECIO</t>
  </si>
  <si>
    <t>FLORES QUISPE, LUSMILA</t>
  </si>
  <si>
    <t>GONZALES CHANCAHUAÑA, MERCEDES</t>
  </si>
  <si>
    <t>HUAMANI MEDINA, SERGIO</t>
  </si>
  <si>
    <t>LUPA HUARCAYA, MARGARITA</t>
  </si>
  <si>
    <t>NAVARRO PACCO, NICOLAS</t>
  </si>
  <si>
    <t>PANIURA DE FLORES, PAULINA</t>
  </si>
  <si>
    <t>ALVAREZ SUAREZ, JOSEFINA</t>
  </si>
  <si>
    <t>GONZALES  SILVESTRE, RINA</t>
  </si>
  <si>
    <t>PANIURA MAYHUIRE, CAYETANO DONATO</t>
  </si>
  <si>
    <t>GUTIERREZ MENDOZA, BEATRIZ</t>
  </si>
  <si>
    <t>CASTRO HUAMANI, LUIS ALBERTO</t>
  </si>
  <si>
    <t>POCOHUANCA</t>
  </si>
  <si>
    <t>RIVERO VALDERRAMA DE MERINO, HILDA</t>
  </si>
  <si>
    <t>HUAMANI LLAMOCCA, JOSEFA</t>
  </si>
  <si>
    <t>VALENZUELA VILLEGAS, ELIZABETH</t>
  </si>
  <si>
    <t>LLAMOZA ALATA, HERLINDA</t>
  </si>
  <si>
    <t>ESPINOZA LOPEZ, JUSTA PILAR</t>
  </si>
  <si>
    <t>AVNEDAÑO ALMANZA, LAZARO</t>
  </si>
  <si>
    <t>HUAMANI MEJIA, SANTIAGO</t>
  </si>
  <si>
    <t>ALARCON SANCHEZ, ACELA</t>
  </si>
  <si>
    <t>FERNANDEZ ALATA, YENY ISABEL</t>
  </si>
  <si>
    <t>SORIA MERINO, RENEE</t>
  </si>
  <si>
    <t>CAMARGO QUIROZ, JESUSA</t>
  </si>
  <si>
    <t>FERNANDEZ LOPEZ, BEATRIZ</t>
  </si>
  <si>
    <t>MERINO HUAYHUA, BELINSA</t>
  </si>
  <si>
    <t>AMPUERO PIMENTEL, PAULINA</t>
  </si>
  <si>
    <t>FERNANDEZ CALLA, RUSBANA</t>
  </si>
  <si>
    <t>PANIURA CONTRERAS, PAULITA</t>
  </si>
  <si>
    <t>VILLAFUERTE SANCHEZ, MARTHA</t>
  </si>
  <si>
    <t>CALLA FERNANDEZ, VIDAL BAUTISTA</t>
  </si>
  <si>
    <t>PUERTAS NIÑO DE GUZMAN, MARIA JESUS</t>
  </si>
  <si>
    <t>LIVIZACA CCOICCA, HONORATA</t>
  </si>
  <si>
    <t>JUSTO APU SAHUARAURA</t>
  </si>
  <si>
    <t>SANCHEZ ROMAN, IGNACIO</t>
  </si>
  <si>
    <t>QUISPE CCOECCA, ROSA</t>
  </si>
  <si>
    <t>AYVAR CCORCCA, MARGARITA</t>
  </si>
  <si>
    <t>ALCCA ROMAN, MARIBEL</t>
  </si>
  <si>
    <t>AYVAR CCOINA, JUAN BAUTISTA</t>
  </si>
  <si>
    <t>CAYLLAHUA SALINA DE LEVIZACA, UBALDINA</t>
  </si>
  <si>
    <t>ROMAN LIVIZACA, JUANA</t>
  </si>
  <si>
    <t>MERINO ONTON, OPTULIA</t>
  </si>
  <si>
    <t>HUARANCCA ALLCCA, MARIA</t>
  </si>
  <si>
    <t>CAYLLAHUA BENITES, JUAN</t>
  </si>
  <si>
    <t>GARAY ÑAHUENLLA, TIMOTEA</t>
  </si>
  <si>
    <t>JURO ZAVALA, DORILA</t>
  </si>
  <si>
    <t>CCOECCA ROMAN, SILVIA</t>
  </si>
  <si>
    <t>TINTAYA PIO, BENITES</t>
  </si>
  <si>
    <t>JIMENEZ LIVIZACA, RITA</t>
  </si>
  <si>
    <t>HURTADO ROMAN, UBALDINO</t>
  </si>
  <si>
    <t>PEREZ NIETO, LOURDES</t>
  </si>
  <si>
    <t>ROMAN CRUZ, GERTRUDES</t>
  </si>
  <si>
    <t>QUISPE CCOECCA, YONY</t>
  </si>
  <si>
    <t>SALAZAR RETAMOZO, YASMINI</t>
  </si>
  <si>
    <t>PEREZ CUELLAR, DOMETILA</t>
  </si>
  <si>
    <t>JIMENEZ SALINAS, BERTHA</t>
  </si>
  <si>
    <t>TAPAIRIHUA</t>
  </si>
  <si>
    <t>TAPIA RETAMOZO, LUISA</t>
  </si>
  <si>
    <t>YUCRA RETAMOZO, VICTOR</t>
  </si>
  <si>
    <t>CHAVEZ CRUZ, APARICIO</t>
  </si>
  <si>
    <t>OSCCO POCCO, SOLEDAD</t>
  </si>
  <si>
    <t>CHACON PELAEZ, AURELIO</t>
  </si>
  <si>
    <t>RETAMOZO CHACON, NATIVIDAD</t>
  </si>
  <si>
    <t>RETAMOZO PEREZ, ARTEMIO</t>
  </si>
  <si>
    <t>MAYHUA RETAMOZO, ALBERTO</t>
  </si>
  <si>
    <t>CHAVEZ CUBA, HILDA</t>
  </si>
  <si>
    <t>SAAVEDRA TAPIA, GUMERCINDO</t>
  </si>
  <si>
    <t>JUAREZ SALAZAR, TOMASA</t>
  </si>
  <si>
    <t>SORIA PEREZ, PRIMITIVA</t>
  </si>
  <si>
    <t>JUAREZ SALAZAR, MANUELA</t>
  </si>
  <si>
    <t>PEREZ JUAREZ, GENOVEVA</t>
  </si>
  <si>
    <t>TAPIA CRUZ, JOSE</t>
  </si>
  <si>
    <t>JIMENEZ TAPIA, AGRIPINA</t>
  </si>
  <si>
    <t>RETAMOZO SORIA, AURORA</t>
  </si>
  <si>
    <t>CUELLAR YUCRA, LEANDRO</t>
  </si>
  <si>
    <t>TAIPE RETAMOZO, FELICITA</t>
  </si>
  <si>
    <t>RETAMOZO TAPIA, JUANA</t>
  </si>
  <si>
    <t>YUCRA SALINA, NELLY</t>
  </si>
  <si>
    <t>CHAVEZ AYVAR, PAULINO</t>
  </si>
  <si>
    <t>RETAMOZO SALINAS, RAUL</t>
  </si>
  <si>
    <t>SALINAS CHAVEZ, ANDRES AVELINO</t>
  </si>
  <si>
    <t>CHACON SAAVEDRA, EDUVEGES</t>
  </si>
  <si>
    <t>RETAMOZO TAPIA, ALEJANDRO</t>
  </si>
  <si>
    <t>VEGA CHAVEZ, BERTHA LUISA</t>
  </si>
  <si>
    <t>HURTADO HUAMANI, BRIGIDA</t>
  </si>
  <si>
    <t>JIMENEZ SAAVEDRA, MERCEDES</t>
  </si>
  <si>
    <t>HURTADO RETAMOZO, ALEJANDRO</t>
  </si>
  <si>
    <t>YUCRA RETAMOZO, DEMETRIO</t>
  </si>
  <si>
    <t>BRAVO CARDENAS, COSME</t>
  </si>
  <si>
    <t>CUELLAR RETAMOZO, ALBERTO</t>
  </si>
  <si>
    <t>CHAVEZ CHACON, PETRONILA</t>
  </si>
  <si>
    <t>VILLENA PACHECO, LIDON</t>
  </si>
  <si>
    <t>SANCHEZ ZEGARRA, MATIASA</t>
  </si>
  <si>
    <t>RETAMOZO BARRIENTOS, JUSTINA</t>
  </si>
  <si>
    <t>PEREZ MORAYA, PEDRO DOMINGO</t>
  </si>
  <si>
    <t>SALINAS TAPIA, SABINA</t>
  </si>
  <si>
    <t>TAPIA CARPIO, DELIA</t>
  </si>
  <si>
    <t>SORIA SALAZAR, SANTOS</t>
  </si>
  <si>
    <t>CAPAYA</t>
  </si>
  <si>
    <t>PRADA MARTINEZ, FRANCISCO WILFREDO</t>
  </si>
  <si>
    <t>CHALHUANCA</t>
  </si>
  <si>
    <t>ENCISO HUAYHUAS, JULIO</t>
  </si>
  <si>
    <t>QUISPE HUAYHUAS, WILBER</t>
  </si>
  <si>
    <t>CALIXTO TORRE, FELICITAS</t>
  </si>
  <si>
    <t>ASCUE CENTENO, GLADIS</t>
  </si>
  <si>
    <t>CCARHUAS TINCO, MARIBEL</t>
  </si>
  <si>
    <t>QUISPE HUAYHUAS, ELENA</t>
  </si>
  <si>
    <t>CALIXTO TORRES DE AYQUIPA, MATIASA</t>
  </si>
  <si>
    <t>QUISPE HUAYHUAS, JUAN</t>
  </si>
  <si>
    <t>ARBIETO AYQUIPA, GLADYS</t>
  </si>
  <si>
    <t>AYQUIPA CALIXTO, JUAN BOSCO</t>
  </si>
  <si>
    <t>AYQUIPA MALLMA, MARIA MAGDALENA</t>
  </si>
  <si>
    <t>ROLDAN GOMEZ, VICTORIA</t>
  </si>
  <si>
    <t>BENITES GONZALES, CRISOLOGA</t>
  </si>
  <si>
    <t>PALOMINO MOLINA, AVELINA</t>
  </si>
  <si>
    <t>SOTELO HUAMANI, CLARA</t>
  </si>
  <si>
    <t>CARAYBAMBA</t>
  </si>
  <si>
    <t>ROJAS HUAMANI, LIDIA</t>
  </si>
  <si>
    <t>CONTRERAS MOTTA, JUAN</t>
  </si>
  <si>
    <t>GUTIERREZ ROJAS, BENEDICTO</t>
  </si>
  <si>
    <t>CONTRERAS CONDORI, YURI</t>
  </si>
  <si>
    <t>ACHO PACCO, BENIGNA</t>
  </si>
  <si>
    <t>CONTRERAS SOLARZANO, FELIX</t>
  </si>
  <si>
    <t>FELIX CONTRERAS, JULIAN</t>
  </si>
  <si>
    <t>HUAMANI CONTRERAS, JESSICA</t>
  </si>
  <si>
    <t>PACCO ACHO, SACARIAS</t>
  </si>
  <si>
    <t>ACUÑA CUCCHI, ABRAHAM</t>
  </si>
  <si>
    <t>VILLAFUERTE ACUÑA, LUISA</t>
  </si>
  <si>
    <t>ROMAN TAIPE, AGUSTINA</t>
  </si>
  <si>
    <t>MORALES CERVANTES, ERNESTINA</t>
  </si>
  <si>
    <t>ACUÑA LEON, JUANA</t>
  </si>
  <si>
    <t>SOLORZANO CONTRERAS, FACUNDINA</t>
  </si>
  <si>
    <t>SOLARZANO USCAMAYTA, FRIDA VICTORIA</t>
  </si>
  <si>
    <t>ATAHUA CONDORI, JENNY</t>
  </si>
  <si>
    <t>ACHO CALLA, JULIO</t>
  </si>
  <si>
    <t>ACUÑA ACHO, ABELARDO SANTIAGO</t>
  </si>
  <si>
    <t>TORRES TAIPE, MARTHA</t>
  </si>
  <si>
    <t>CONDORI TORRES, ROGEL</t>
  </si>
  <si>
    <t>TICA DE CERVANTES, FLORA</t>
  </si>
  <si>
    <t>SOLORZANO CONTRERAS, NOLBERTO FELIPE</t>
  </si>
  <si>
    <t>HAUMANI FELIX, ALICIA</t>
  </si>
  <si>
    <t>CAYLLAHUA MAIHUIRE, MAXIMILIANO</t>
  </si>
  <si>
    <t>CONTRERAS GUILLEN, RENE</t>
  </si>
  <si>
    <t>HUAMAN LEON, GASPAR</t>
  </si>
  <si>
    <t>HUAMANI CHICLLA, JUAN ZOILO</t>
  </si>
  <si>
    <t>HUAMANI ROMAN, MEDARDO</t>
  </si>
  <si>
    <t>MENDOZA CONTRERAS, MARIA TIMOTEA</t>
  </si>
  <si>
    <t>CCANCCE GUTIERREZ, CONSTANTINA</t>
  </si>
  <si>
    <t>HUAMANI CANCHASTO, YOVANA</t>
  </si>
  <si>
    <t>HUAMANI CAHUANA, MELIGINDRA</t>
  </si>
  <si>
    <t>LEONA HUAMANI, IGNACIA</t>
  </si>
  <si>
    <t>GUTIERREZ ZELA, SANTA BRIGIDA</t>
  </si>
  <si>
    <t>GUTIERREZ CONTRERAS, BONIFACIA</t>
  </si>
  <si>
    <t>PACCO ANCCO, CELESTINA</t>
  </si>
  <si>
    <t>VILLAFUERTE ACHO DE PEREZ, JULIA</t>
  </si>
  <si>
    <t>CALLA CONTRERAS, JACINTO</t>
  </si>
  <si>
    <t>ALEJANDRO CAILLAHUA, LUIS NICACIO</t>
  </si>
  <si>
    <t>ALEJANDRO ACHO DE CONDORI, EVELIA</t>
  </si>
  <si>
    <t>CONDORI ATAHUA, MARTINA</t>
  </si>
  <si>
    <t>HUAMANI ACHO, PAULINA VISITACION</t>
  </si>
  <si>
    <t>CASTRO ALCANTARA, JUANA</t>
  </si>
  <si>
    <t>HUAMANI CHANCAVILCAS, ZENOBIA</t>
  </si>
  <si>
    <t>GUTIERREZ PANIURA, YAKLYN LUCIA</t>
  </si>
  <si>
    <t>ENCISO MARCA, BLADIMIR</t>
  </si>
  <si>
    <t>HUAYHUA ALEJANDRO, SINFORIANO</t>
  </si>
  <si>
    <t>HUAMANI CONDORI, LORENZA</t>
  </si>
  <si>
    <t>CUCCHI ACUÑA, LIDIA</t>
  </si>
  <si>
    <t>NAVARRO PACCO, ELIAS</t>
  </si>
  <si>
    <t>HUAMANI ROJAS, SABINA</t>
  </si>
  <si>
    <t>GUTIERREZ TAIPE, INOCENCIO</t>
  </si>
  <si>
    <t>GASPAR ANCHAIHUA, ENCARNACION</t>
  </si>
  <si>
    <t>USCAMAITA CARLOS, MARINA</t>
  </si>
  <si>
    <t>ZOLORZANO GUTIERREZ, FABIOLA</t>
  </si>
  <si>
    <t>PAREJA CCACCYA, TELMA LUZ</t>
  </si>
  <si>
    <t>ATAHUA OSCCO, FRANCISCA</t>
  </si>
  <si>
    <t>ANCHAYHUA ACHO, RODOLFO</t>
  </si>
  <si>
    <t>CHICLLA CUCCHI, ELIZABETH</t>
  </si>
  <si>
    <t>ANCCO QUISPE, GREGORIA</t>
  </si>
  <si>
    <t>HILARIO TAIPE, SATURNINA</t>
  </si>
  <si>
    <t>CABRERA CONTRERAS, PEDRO</t>
  </si>
  <si>
    <t>TAIPE CAILLAHUA, MARIA</t>
  </si>
  <si>
    <t>LEON CORTEZ, VICTORIA</t>
  </si>
  <si>
    <t>CUCCHI CERVANTES VDA. DE ACUÑA, AGUSTINA</t>
  </si>
  <si>
    <t>HUAMANI SONCCO, ELOY ALEJANDRO</t>
  </si>
  <si>
    <t>SONCCO DIAZ, TULA</t>
  </si>
  <si>
    <t>CONDORI MINA, OCTAVIA</t>
  </si>
  <si>
    <t>NAVARRO PACCO, NANCY IRMA</t>
  </si>
  <si>
    <t>VEGA TAYPE, TEODORA PAULA</t>
  </si>
  <si>
    <t>ACUÑA MORALES  VDA. SILVA, ADELAIDA</t>
  </si>
  <si>
    <t>MOLINA HUAYHUAS, HONORATA</t>
  </si>
  <si>
    <t>HERRERA QUISPE, FELICITAS</t>
  </si>
  <si>
    <t>RIOS TAIPE, AYDEE</t>
  </si>
  <si>
    <t>PIMENTEL PALOMINO, ALICIA</t>
  </si>
  <si>
    <t>POZO LIZONDI DE BARRIENTOS, CIRILA</t>
  </si>
  <si>
    <t>QUISPE TORRES, NICOLASA YOLANDA</t>
  </si>
  <si>
    <t>TINTAYA MORENO, MARTINA</t>
  </si>
  <si>
    <t>AYMITUMA CHECYA, GERARDA</t>
  </si>
  <si>
    <t>AVENDAÑO AYQUIPA, DOLORES</t>
  </si>
  <si>
    <t>ANAMPA CALLA, ESTHER</t>
  </si>
  <si>
    <t>PALOMINO ORTEGA, GLADYS</t>
  </si>
  <si>
    <t>NICOCHEA CHIPANA, MARCELINO</t>
  </si>
  <si>
    <t>CRUZ TORREZ, SUSANA</t>
  </si>
  <si>
    <t>MIRANDA CASTAÑEDA, CELSA</t>
  </si>
  <si>
    <t>GUTIERREZ SALAS, MARIA</t>
  </si>
  <si>
    <t>VALDERRAMA AMPUERO DE NAVARRO, CIRILA DORIS</t>
  </si>
  <si>
    <t>LIMASCCA HUAMANI, ROSA MARLENY</t>
  </si>
  <si>
    <t>FERNANDEZ VILLEGAS, ADA</t>
  </si>
  <si>
    <t>RETAMOZO TAIPE, LUCIA</t>
  </si>
  <si>
    <t>ROMAN HERRERA, JUANA</t>
  </si>
  <si>
    <t>CCOICCA MALDONADO, DINA</t>
  </si>
  <si>
    <t>HUARHUA ROJAS, HILDA ANGELICA</t>
  </si>
  <si>
    <t>PATIÑO RAMIREZ, IRMA</t>
  </si>
  <si>
    <t>FERNANDEZ IGNACIO, SEGUNDINA</t>
  </si>
  <si>
    <t>HERRERA MALDONADO, TEODORO</t>
  </si>
  <si>
    <t>HUASHUA HUANCA, VALENTIN WILFREDO</t>
  </si>
  <si>
    <t>PATIÑO QUISPE, AYDEE LIDIA</t>
  </si>
  <si>
    <t>PANIURA CALLA, EMILIA</t>
  </si>
  <si>
    <t>MARCILLA AMPUERO, JUAN CLIMACO</t>
  </si>
  <si>
    <t>ESPINOZA ROLDAN, GRACIELA</t>
  </si>
  <si>
    <t>TRIVENO CERON, LIDIA</t>
  </si>
  <si>
    <t>LEONA CONTRERAS, GENOVEVA</t>
  </si>
  <si>
    <t>ROMAN HUANACCHIRI, ANABEL GENARA</t>
  </si>
  <si>
    <t>VARGAS MALDONADO, LUZ</t>
  </si>
  <si>
    <t>PIMENTEL ARGOTE, DELIA</t>
  </si>
  <si>
    <t>PIMENTEL ARGOTE, DELIA GENOVEVA</t>
  </si>
  <si>
    <t>SERRANO VILLANUEVA, PEDRO PAULO</t>
  </si>
  <si>
    <t>AIVAR CAVERO, OBDULIA</t>
  </si>
  <si>
    <t>ATAMARI CUADROS, HILDA</t>
  </si>
  <si>
    <t>ZAMORA ZEGARRA, SUSANA</t>
  </si>
  <si>
    <t>ROSALES AYQUIPA, GRACILDA</t>
  </si>
  <si>
    <t>ANCCASI ORDOÑEZ, DOMETILA</t>
  </si>
  <si>
    <t>PIPA AGUILAR, SANTIAGO</t>
  </si>
  <si>
    <t>COSSIO MOLINA, ROSA</t>
  </si>
  <si>
    <t>ACHULLI TAIPE, ELISABETH</t>
  </si>
  <si>
    <t>MAMANI QUISPE, TORIBIA</t>
  </si>
  <si>
    <t>GUTIERREZ GUERRERO, ANTONIA</t>
  </si>
  <si>
    <t>ORTEGA ALLCCA, ESTEFA</t>
  </si>
  <si>
    <t>BACA LLACCHUA, GRACIELA</t>
  </si>
  <si>
    <t>CONDORI AZARTE, PILAR</t>
  </si>
  <si>
    <t>RODRIGUEZ IZQUIERDO, MARITZA</t>
  </si>
  <si>
    <t>CABRERA QUISPE, SEBASTIANA</t>
  </si>
  <si>
    <t>CONTRERAS HERRERA, MAXIMILIANA</t>
  </si>
  <si>
    <t>PALOMINO RIOS, ROSMERY</t>
  </si>
  <si>
    <t>CHALCO GONZALES, REINA</t>
  </si>
  <si>
    <t>CAHUANA QUISPE, GEMMA</t>
  </si>
  <si>
    <t>FERNANDEZ FERNANDEZ, MARITZA</t>
  </si>
  <si>
    <t>LAZARO CUEVA, TERESA DEAVIVA</t>
  </si>
  <si>
    <t>HUAMANI ÑAHUINLLA, MAXIMILIANA</t>
  </si>
  <si>
    <t>CONTRERAS VELASQUEZ, MARCELINA TRINIDAD</t>
  </si>
  <si>
    <t>HUARHUA ROJAS, INOCENCIA</t>
  </si>
  <si>
    <t>CONTRERAS GUILLEN, MAGARITA</t>
  </si>
  <si>
    <t>JUAREZ ROMAN, GAVINA</t>
  </si>
  <si>
    <t>ALATA TRIVEÑO DE ALMANZA, DOMITILA</t>
  </si>
  <si>
    <t>ROJAS QUISPE, VALENTINA</t>
  </si>
  <si>
    <t>PALOMINO MALDONADO, JERONIMO ANTONIO</t>
  </si>
  <si>
    <t>ACHO ANCCO, GREGORIA</t>
  </si>
  <si>
    <t>HUASHUA HUANCA DE PEREZ, FABIANA</t>
  </si>
  <si>
    <t>FLORES QUISPE, EMILIA</t>
  </si>
  <si>
    <t>OYARDO MAYHUIRE, FLORENCIA</t>
  </si>
  <si>
    <t>SORIA ROMAN, HIDELZA</t>
  </si>
  <si>
    <t>VEGA HILARIO VDA DE GARAY, LEONOR</t>
  </si>
  <si>
    <t>MARQUEZ  YUPANQUI, HILDA</t>
  </si>
  <si>
    <t>VIVANCO MERMA VDA. DE CHIPANA, ROSA</t>
  </si>
  <si>
    <t>QUISPE RAMOS, GLORIA</t>
  </si>
  <si>
    <t>SOTO SANTO, NICACIO</t>
  </si>
  <si>
    <t>CONTRERAS JUARES, RENE</t>
  </si>
  <si>
    <t>MENESES CONTRERAS, GERONIMO</t>
  </si>
  <si>
    <t>ZEVALLOS PIMENTEL, CELIA</t>
  </si>
  <si>
    <t>VELASQUE GAMARRA, EVARISTA</t>
  </si>
  <si>
    <t>CARBAJAL ROLDAN, ROSA</t>
  </si>
  <si>
    <t>MARCA ONTON, BENEDIGTA</t>
  </si>
  <si>
    <t>SORIA QUISPE, HILARIA</t>
  </si>
  <si>
    <t>GUTIERREZ AUCCAHUASI, FELISIANO</t>
  </si>
  <si>
    <t>FORTON GAMARRA, MERY LUZ</t>
  </si>
  <si>
    <t>SORIA ROMAN, ELEAZARO</t>
  </si>
  <si>
    <t>VERA CONTRERAS, JESUSA</t>
  </si>
  <si>
    <t>PIMENTEL TRIBEÑO, ELVA ANATOLIA</t>
  </si>
  <si>
    <t>SANCHEZ VILLAFUERTE, JOSE MARTIN</t>
  </si>
  <si>
    <t>IGNACIO CONTRERAS, LINO</t>
  </si>
  <si>
    <t>CORTEZ HUAMAN, YESMENY</t>
  </si>
  <si>
    <t>RAMOS TITO, HECTOR</t>
  </si>
  <si>
    <t>MALDONADO QUINCHO, SOFIA CIRILA</t>
  </si>
  <si>
    <t>ROMAN CUARESMA, BENEDICTA</t>
  </si>
  <si>
    <t>ROMAN PINO, PASCUALA</t>
  </si>
  <si>
    <t>DE LA TORRE HERRERA, MARGARITA ANA</t>
  </si>
  <si>
    <t>FLORES CHOQUEMAMANI, CATALINA</t>
  </si>
  <si>
    <t>SALAZAR CORTEZ, LUCIA</t>
  </si>
  <si>
    <t>MALDONADO NAVARRO DE PIMENTEL, SIMONA</t>
  </si>
  <si>
    <t>ROMAN BENITES, ERLINDA</t>
  </si>
  <si>
    <t>CHIPANA QUICAÑA, ALICIA</t>
  </si>
  <si>
    <t>HUAMANI HUILLCAYA, MARINA</t>
  </si>
  <si>
    <t>CHARA CONDORE, NANCY</t>
  </si>
  <si>
    <t>AVENDAÑO SORIA, BELTRAN FRANCISCO</t>
  </si>
  <si>
    <t>ORTIZ TELLO, CLAUDIA</t>
  </si>
  <si>
    <t>TOMAYLLA HUAMANI, VILMA</t>
  </si>
  <si>
    <t>HUAMANI CHUMPE, ALEJANDRINA</t>
  </si>
  <si>
    <t>MARTINEZ ROMAN, AYDEE YOVANA</t>
  </si>
  <si>
    <t>OCAÑA PEREZ, PETRONILA</t>
  </si>
  <si>
    <t>HUAMANI CUARESMA, AURELIA</t>
  </si>
  <si>
    <t>CARHUAS LLACCHUA, FREDY</t>
  </si>
  <si>
    <t>QUISPE ESTACIO, YOLI BERONICA</t>
  </si>
  <si>
    <t>ARONE HUAMANI, EVARISTO</t>
  </si>
  <si>
    <t>LLAMCCAYA FERNANDEZ, MARILUZ</t>
  </si>
  <si>
    <t>HUAMANTUMBA TAMAYO, BENEDICTA</t>
  </si>
  <si>
    <t>QUISPIRIMA TORRES, CARMELA</t>
  </si>
  <si>
    <t>QUISPE HUILLCA, NOE</t>
  </si>
  <si>
    <t>FERNANDEZ MENESES, OSWALDO RUPERTO</t>
  </si>
  <si>
    <t>MAMANI MAMANI, FIDEL</t>
  </si>
  <si>
    <t>SEGOVIA CASTAÑEDA, PAULINO ELEAZAR</t>
  </si>
  <si>
    <t>ZALAZAR LLACCHUA, MARLENE</t>
  </si>
  <si>
    <t>QUISPE TAMAYO, SEGUNDINA</t>
  </si>
  <si>
    <t>AGUILAR BACA, HIPOLITA</t>
  </si>
  <si>
    <t>QUINTERO ROMAN, PABLO</t>
  </si>
  <si>
    <t>QUISPE TELLO, YENI</t>
  </si>
  <si>
    <t>HUILLCAYA LOAIZA DE HUAMANI, JULIA ANA</t>
  </si>
  <si>
    <t>TAMAYO TORRES VDA. DE ESTACIO, ADRIANA</t>
  </si>
  <si>
    <t>PALOMINO AYCHO, JUAN DE LA CRUZ</t>
  </si>
  <si>
    <t>ACUÑA TAIPE, CELIA</t>
  </si>
  <si>
    <t>SEGOVIA QUISPE, LIBIA JANETH</t>
  </si>
  <si>
    <t>CCARHUAS LLACCHUA, PAULINA</t>
  </si>
  <si>
    <t>SALCEDO MALABRADO, ROSA AMANDINA</t>
  </si>
  <si>
    <t>FERNANDEZ QUISPE, LIVIA</t>
  </si>
  <si>
    <t>TORRES HUAMANI, EDITH</t>
  </si>
  <si>
    <t>ARONE CRUZ, VILMA</t>
  </si>
  <si>
    <t>SEGOVIA GARAY, TIMOTEA</t>
  </si>
  <si>
    <t>GARCIA QUISPE, LUSBE</t>
  </si>
  <si>
    <t>CCARHUAS TINCO, CELSA FRANCISCA</t>
  </si>
  <si>
    <t>INCA HUAMANI, ELISEO</t>
  </si>
  <si>
    <t>SEGOVIA FUENTES, JESUS OSCAR</t>
  </si>
  <si>
    <t>QUISPE CINTHIA, SALCEDO</t>
  </si>
  <si>
    <t>SA¥AYCA</t>
  </si>
  <si>
    <t>AUCAHUASI QUISPE, REBECA</t>
  </si>
  <si>
    <t>ORTEGA QUISPERIMA, MARIA LUZ</t>
  </si>
  <si>
    <t>SEGOVIA GARAY, EUSEBIA</t>
  </si>
  <si>
    <t>TAIPE SALAZAR, DIOMEDES</t>
  </si>
  <si>
    <t>ESTACIO QUISPERIMA, ALBERTO</t>
  </si>
  <si>
    <t>ARONI MARTINEZ, RAFAEL FORTUNATO</t>
  </si>
  <si>
    <t>HUANCA CASTAÑEDA, REYNA</t>
  </si>
  <si>
    <t>BELLIDO NAVARRO, LUCIA</t>
  </si>
  <si>
    <t>HUANCA PIMENTEL, DINA</t>
  </si>
  <si>
    <t>MARCANI QUISPE, ISABEL</t>
  </si>
  <si>
    <t>HUANCA FERNANDEZ, HERMELINDA</t>
  </si>
  <si>
    <t>TORRES PIMENTEL, CANDELARIA</t>
  </si>
  <si>
    <t>QUISPE AUCCAHUASI, AURELIO</t>
  </si>
  <si>
    <t>YAURI HUARHUA, JUANA</t>
  </si>
  <si>
    <t>ESPINOZA AYENDE, JUANA VICTORIA</t>
  </si>
  <si>
    <t>PALOMINO SARMIENTO, JULIA</t>
  </si>
  <si>
    <t>CAHUANA JIMENEZ, HERMENEGILDA</t>
  </si>
  <si>
    <t>MALLMA CANDIA, LISENIA JOSEFA</t>
  </si>
  <si>
    <t>HUILLCAYA HUAMANI, ERLINDA</t>
  </si>
  <si>
    <t>QUISPE PINARES, AGUSTO SERGIO</t>
  </si>
  <si>
    <t>CUCHI ARISTO, POLICARPO</t>
  </si>
  <si>
    <t>RIOS ARCE, BACILIA</t>
  </si>
  <si>
    <t>SALGUERO BAZAN, NEMESIO TIMOTEO</t>
  </si>
  <si>
    <t>TAMAYO QUISPE, JOSEFINA</t>
  </si>
  <si>
    <t>SALGUERO ALLAUCA, ROSA OTILIA</t>
  </si>
  <si>
    <t>ZEGARRA CERON DE MALLMA, JUANA AUGUSTA</t>
  </si>
  <si>
    <t>HUANCA CASTAÑEDA, GLORIA</t>
  </si>
  <si>
    <t>SALGUERO ALLAUCA, LEONOR SAVINA</t>
  </si>
  <si>
    <t>TAYA LLALLERCO, ROSA DORIS</t>
  </si>
  <si>
    <t>CAHUANA CASAHUILCA, MARGARITA</t>
  </si>
  <si>
    <t>QUISPE LIVIZACA, MANUEL</t>
  </si>
  <si>
    <t>ZAVALA TORRES, SILVERIA</t>
  </si>
  <si>
    <t>MALLMA HUAMAN, LUCIA</t>
  </si>
  <si>
    <t>CAVERO RAMOS, JOSE CARMEN</t>
  </si>
  <si>
    <t>CRUZ SALINAS, ROSA</t>
  </si>
  <si>
    <t>TAIPE PAUCAR, SOLEDAD</t>
  </si>
  <si>
    <t>PAUCAR MALLMA, CIRILO SEGUNDINO</t>
  </si>
  <si>
    <t>MALLMA CORTEZ, MARCELINA</t>
  </si>
  <si>
    <t>QUISPE CAHUANA, YOLANDA</t>
  </si>
  <si>
    <t>PEÑA HUAMANI, AMANDA</t>
  </si>
  <si>
    <t>AYVAR GARAY, MAGDA</t>
  </si>
  <si>
    <t>ACUÑA ROMAN, NICOLASA DELIA</t>
  </si>
  <si>
    <t>CAYLLAHUA INGA, ANGELICA</t>
  </si>
  <si>
    <t>MARCA ACCLLA, ISABEL</t>
  </si>
  <si>
    <t>CAVERO ZAVALA, NESTOR</t>
  </si>
  <si>
    <t>CAHUANA PEREZ, MARTHA</t>
  </si>
  <si>
    <t>PAUCAR PEREZ, ROSA ELVIRA</t>
  </si>
  <si>
    <t>HERRERA LLACTA, ROSA</t>
  </si>
  <si>
    <t>QUISPE CARPIO DE CORTEZ, FELICITAS</t>
  </si>
  <si>
    <t>TORRES TELLO, BASILIO</t>
  </si>
  <si>
    <t>TAIPE TINCO, DOROTEA</t>
  </si>
  <si>
    <t>GARAY RAZO, SATIAGO</t>
  </si>
  <si>
    <t>GUZMAN HUANCA, ISABEL</t>
  </si>
  <si>
    <t>TORRES PALOMINO, TOMASA OLGA</t>
  </si>
  <si>
    <t>QUISPE TAIPE, JULIA</t>
  </si>
  <si>
    <t>QUISPE LLANCE, MAXIMILIANA</t>
  </si>
  <si>
    <t>ROMAN LLACTARIMA, ASUNTA</t>
  </si>
  <si>
    <t>CASTAÑEDA CORTEZ, LAURA</t>
  </si>
  <si>
    <t>CRUZ QUISPE, DANIEL GENARO</t>
  </si>
  <si>
    <t>TAMAYO SEGOVIA, OCTAVIO</t>
  </si>
  <si>
    <t>PALOMINO ROSARIO, QUISPE</t>
  </si>
  <si>
    <t>RAZO GARAY, BERTHA</t>
  </si>
  <si>
    <t>MARCANI QUISPE, RENE</t>
  </si>
  <si>
    <t>ACUÑA NECOCHEA, TERESA</t>
  </si>
  <si>
    <t>NOA HUAMANGA, ANITA</t>
  </si>
  <si>
    <t>INGA BAEZ, MARIA JESUS</t>
  </si>
  <si>
    <t>CERON FALCON, JUANA</t>
  </si>
  <si>
    <t>ROMAN HUAMANI, PAULA</t>
  </si>
  <si>
    <t>TRIVEÑO ROMAN, JUANA ROSA</t>
  </si>
  <si>
    <t>RAMIREZ SARMIENTO, NICOLAS</t>
  </si>
  <si>
    <t>TAIPE HUACHARQUI, BRIGIDA</t>
  </si>
  <si>
    <t>PANIORA CORTEZ, MARTINA CONSTANTINA</t>
  </si>
  <si>
    <t>PANIORA CORTEZ, YOVANA</t>
  </si>
  <si>
    <t>MALDONADO ZEVALLOS, VIRGINIA</t>
  </si>
  <si>
    <t>FALCON PINEDA, AURELIA</t>
  </si>
  <si>
    <t>CONTRERAS CHOCCARI, AYDA MARINA</t>
  </si>
  <si>
    <t>QUISPE RAZO, REMIGIA</t>
  </si>
  <si>
    <t>ORTEGA MENESES, LIDIA</t>
  </si>
  <si>
    <t>RAZO LLACTARIMA, ANTONIA</t>
  </si>
  <si>
    <t>SEGOVIA ARONI, URIEL</t>
  </si>
  <si>
    <t>QUISPERIMA QUISPE, PEDRO</t>
  </si>
  <si>
    <t>QUISPIRIMA AICHO, JUAN</t>
  </si>
  <si>
    <t>ATIQUIPA QUISPE, MANUELA</t>
  </si>
  <si>
    <t>MENA ARONE, YOVANA</t>
  </si>
  <si>
    <t>QUISPE CORPUS, ESTHER</t>
  </si>
  <si>
    <t>FLORES HUAMANI, BENEDICTO</t>
  </si>
  <si>
    <t>ANCCO DE HUAMANI, AGRIPINA</t>
  </si>
  <si>
    <t>ANAMPA CONDORI, RICARDO</t>
  </si>
  <si>
    <t>ANCCO MENA, PETRONILA</t>
  </si>
  <si>
    <t>ANCCO AZARTE, GUADALUPE</t>
  </si>
  <si>
    <t>CONDORI AZARTE, ESTELA</t>
  </si>
  <si>
    <t>HUAMANI LUIS, SAYDA</t>
  </si>
  <si>
    <t>ÑAHUINLLA AZARTE, VICTOR</t>
  </si>
  <si>
    <t>MENA GUTIERREZ, EPIFANIA</t>
  </si>
  <si>
    <t>CONDORI ATAHUA, GAVINA</t>
  </si>
  <si>
    <t>CUIPA ATAHUA, SATURNINA</t>
  </si>
  <si>
    <t>ÑAHUINLLA CUIPA, JORGE</t>
  </si>
  <si>
    <t>CONDORI BUENDIA, CELINDA</t>
  </si>
  <si>
    <t>ÑAHUINLLA HUAMANI, JUAN</t>
  </si>
  <si>
    <t>QUISPE LAVANDO, FLORA</t>
  </si>
  <si>
    <t>CONDORI MENA, DIMAS</t>
  </si>
  <si>
    <t>CONDORI MENA, FREDDY JESUS</t>
  </si>
  <si>
    <t>ÑAHUINLLA HUAMANI, BERNARDINO</t>
  </si>
  <si>
    <t>HUAMANI CUCHILLO, FELIPA</t>
  </si>
  <si>
    <t>CONDORI HUAMANI, ANGELICA</t>
  </si>
  <si>
    <t>ÑAHUINLLA GUIPA, HIPOLITO</t>
  </si>
  <si>
    <t>CUIPA ARONE, APOLINAR</t>
  </si>
  <si>
    <t>ANCCO MENA, SEGUNDINA</t>
  </si>
  <si>
    <t>QUICAÑA CHIPANA, DINA DELIA</t>
  </si>
  <si>
    <t>NAVARRETE GUARDIA, VEDOLVINA</t>
  </si>
  <si>
    <t>ÑAHUINLLA CONDORI, ATILIO</t>
  </si>
  <si>
    <t>MENA CONDORI, ALEJANDRO</t>
  </si>
  <si>
    <t>CARITAS HUAMANI, PLACIDA</t>
  </si>
  <si>
    <t>ANCCO HUARACA, YOLANDA</t>
  </si>
  <si>
    <t>QUISPE HUILLCAYA, GREGORIO</t>
  </si>
  <si>
    <t>TTITO CONDORI, PAULIN</t>
  </si>
  <si>
    <t>RAMIREZ CONDE, RAIDA JUDIT</t>
  </si>
  <si>
    <t>CARPIO CHIPANA, DORA</t>
  </si>
  <si>
    <t>CONDORI AZARTE, MARTHA</t>
  </si>
  <si>
    <t>ORTIZ PEREZ, FULGENCIA</t>
  </si>
  <si>
    <t>CONDORI QUISPE, GLORIA</t>
  </si>
  <si>
    <t>ATIQUIPA CARITAS, MARUJA</t>
  </si>
  <si>
    <t>QUISPE SANCHEZ, VALENTINA</t>
  </si>
  <si>
    <t>QUISPE SANCHEZ, ISABEL</t>
  </si>
  <si>
    <t>ARONE HUAMANI, BERNAVE</t>
  </si>
  <si>
    <t>HUAMANI MENA, EDUARDA</t>
  </si>
  <si>
    <t>ORTIZ LLAMCCAYA, NORMA</t>
  </si>
  <si>
    <t>SONCCO USAQUI, MAGDA</t>
  </si>
  <si>
    <t>COTARUSE</t>
  </si>
  <si>
    <t>CUIPA LLAMCCAYA, ANGELINA</t>
  </si>
  <si>
    <t>GOYA ALATA, CRUSPIDA</t>
  </si>
  <si>
    <t>CONTRERAS RAMIREZ, ANGELICA</t>
  </si>
  <si>
    <t>TAIPE HUAMANI, YANET</t>
  </si>
  <si>
    <t>VICENCIO CCASAÑE, RAYMUNDO</t>
  </si>
  <si>
    <t>FLORES VELASQUES, RODY MATILDE</t>
  </si>
  <si>
    <t>CUIPA ATAHUA, MARIA JUSTA</t>
  </si>
  <si>
    <t>VELASQUEZ HUAMANI, KATIA</t>
  </si>
  <si>
    <t>GOYA QUISPE, LUDES</t>
  </si>
  <si>
    <t>LEONA LOPEZ, VIRGINIA</t>
  </si>
  <si>
    <t>VICENCIO ANCHAYHUA, NESTOR</t>
  </si>
  <si>
    <t>RAMIREZ CONTRERAS, FELICIANA</t>
  </si>
  <si>
    <t>TAIPE QUISPE, ZONIA</t>
  </si>
  <si>
    <t>LLAMOCCA OSCCO, ROSA ROSALVINA</t>
  </si>
  <si>
    <t>DAVALOS LLAMCCAYA, LUZGARDA</t>
  </si>
  <si>
    <t>QUIJAHUAMAN HUAMANI, DOLORES</t>
  </si>
  <si>
    <t>BRAVO TARRILLO, ELENA</t>
  </si>
  <si>
    <t>CUIPA LOCO, PAULINA</t>
  </si>
  <si>
    <t>DAVALOS CALLE, ESTEFA</t>
  </si>
  <si>
    <t>TAIPE VICENCIO, DOLORES</t>
  </si>
  <si>
    <t>VICENCIO CUARESMA, BENIEDICTO</t>
  </si>
  <si>
    <t>ORTIZ LOPEZ, ERAYDA</t>
  </si>
  <si>
    <t>ACUÑA CUCCHE, SEBASTIAN</t>
  </si>
  <si>
    <t>HUAMANI CUIPA, SUNILDA</t>
  </si>
  <si>
    <t>CRUZ CONDORI, VERGINIA</t>
  </si>
  <si>
    <t>VARGAS CONTRERAS, RAUL</t>
  </si>
  <si>
    <t>SOTO QUISPE, NOEMI ESTHEFANY</t>
  </si>
  <si>
    <t>HUACCHARAQUI DE LA TORRE, NELY</t>
  </si>
  <si>
    <t>ALATA PANIURA, DIONISIO</t>
  </si>
  <si>
    <t>RAMIREZ CUCCHI, ALEJANDRA</t>
  </si>
  <si>
    <t>ATIQUIPA QUISPE DE CARITAS, FELIPA</t>
  </si>
  <si>
    <t>CASAÑE RAMIREZ DE CORTEZ, ELEUTERIA</t>
  </si>
  <si>
    <t>LLACTA CRUZ, OCTAVIA</t>
  </si>
  <si>
    <t>POCCO HUANACCHIRI, JACINTO</t>
  </si>
  <si>
    <t>SANTIAGO GUERRA, IVARGUEN</t>
  </si>
  <si>
    <t>ÑAUPA YAURI, MATILDE</t>
  </si>
  <si>
    <t>LLACTA SUCANTAIPE, GUILLERMO ELOY</t>
  </si>
  <si>
    <t>CALLA HILARIO, BERNARDINO</t>
  </si>
  <si>
    <t>LLANCCAYA PEREZ, JULIA</t>
  </si>
  <si>
    <t>LLAMCCAYA DE LA TORRE, GUILLERMINA MANUELA</t>
  </si>
  <si>
    <t>AZARTE CONTRERAS, ELVIRA</t>
  </si>
  <si>
    <t>MARTINEZ HUACCHARAQUI, NICOLAZA</t>
  </si>
  <si>
    <t>HUARACA FLORES, MAXIMILIANA</t>
  </si>
  <si>
    <t>LLAMCCAYA CONDE DE LOPEZ, LUISA</t>
  </si>
  <si>
    <t>TRIVEÑO MAMANI, DINA MANUELA</t>
  </si>
  <si>
    <t>ANAMPA CONDE, ADELAIDA</t>
  </si>
  <si>
    <t>CARITAS ANAMPA, BONIFACIA</t>
  </si>
  <si>
    <t>ARONI VERA, IDELFUNCIA</t>
  </si>
  <si>
    <t>ANAMPA PEREZ, YLDEFONSA</t>
  </si>
  <si>
    <t>LLANCAYA DE, LA TORRE PETRONILA</t>
  </si>
  <si>
    <t>CONDE ARONI, SIXTO EDGAR</t>
  </si>
  <si>
    <t>VALDERRAMA HUILLCAYA, YONY</t>
  </si>
  <si>
    <t>CALLA LLANCCAYA, ERLINDA</t>
  </si>
  <si>
    <t>DE LA TORRE LLAMCCAYA, NELY MARUJA</t>
  </si>
  <si>
    <t>VALDERRAMA HUILLCAYA, JOSE</t>
  </si>
  <si>
    <t>TTITO MAMANI, CAYETANA</t>
  </si>
  <si>
    <t>LLANCAYA CONDE, NATIVIDAD</t>
  </si>
  <si>
    <t>PEREZ ORTIZ, PABLO</t>
  </si>
  <si>
    <t>VALDERRAMA HUILLCAYA, HILIA</t>
  </si>
  <si>
    <t>FLORES HERRERA, EDUVINA</t>
  </si>
  <si>
    <t>HUICURO YAURI, PERCY</t>
  </si>
  <si>
    <t>CUCCHI CONDORI, JESMENY</t>
  </si>
  <si>
    <t>HUAMANI MARTINEZ, MARIANO CONCEPCION</t>
  </si>
  <si>
    <t>HUAMANI HUANCA, ELENA</t>
  </si>
  <si>
    <t>HUAMANI MARTINEZ, MELITON</t>
  </si>
  <si>
    <t>CONDE VERA, MERCEDES</t>
  </si>
  <si>
    <t>HUAMANI MARTINEZ, COSME ELEAZAR</t>
  </si>
  <si>
    <t>HUILLCAYA HUANCA, ELISEO</t>
  </si>
  <si>
    <t>HUARANCCALLA QUISPE, SERGIO LENIN</t>
  </si>
  <si>
    <t>CHOQUE CHURA, ROSSFER LEHI</t>
  </si>
  <si>
    <t>HUAMANI CURIHUAMANI, MARIA</t>
  </si>
  <si>
    <t>CALLA CAYO, VICTOR</t>
  </si>
  <si>
    <t>HUAMANI CURIHUAMANI, ELIZABETH</t>
  </si>
  <si>
    <t>LLACSA CHIPANA, JUAN CARLOS</t>
  </si>
  <si>
    <t>CONDORI AYMITUMA, TOMAS</t>
  </si>
  <si>
    <t>LLACSA CHIPANA, VILMA</t>
  </si>
  <si>
    <t>HERRERA LLACTA, VIRGINIA</t>
  </si>
  <si>
    <t>HUANCA HUAMANI, CLETO CAYETANO</t>
  </si>
  <si>
    <t>HUANCA HUAMANI, ANDRES</t>
  </si>
  <si>
    <t>PORTILLO GONZALES, VILMA CONCEPCIÓN</t>
  </si>
  <si>
    <t>LOAIZA QUISPE, ROSALIA</t>
  </si>
  <si>
    <t>FARFAN SAIRITUPA, EDILBERTO FORTUNATO</t>
  </si>
  <si>
    <t>RIOS ACHATA, YOLANDA</t>
  </si>
  <si>
    <t>RAMOS HUAMANI, MARIA CLEOFE</t>
  </si>
  <si>
    <t>BARRIENTOS ALCCA, LIBIO</t>
  </si>
  <si>
    <t>VEGA AVENDAÑO, GUMERCINDA</t>
  </si>
  <si>
    <t>MOLINA GUTIERREZ, ALEJANDRO</t>
  </si>
  <si>
    <t>FARFAN ARRIAGA, FORTUNATO</t>
  </si>
  <si>
    <t>AYALA DE ZAMORA, FELICITAS</t>
  </si>
  <si>
    <t>JUAREZ ZEGARRA, MARIA ROSARIO</t>
  </si>
  <si>
    <t>ZEGARRA DE JUAREZ, CONCEPCION</t>
  </si>
  <si>
    <t>HUAMANI TOMAYLLA, GUMERCINDA</t>
  </si>
  <si>
    <t>AYALA ACHATA, ROSAURA</t>
  </si>
  <si>
    <t>TELLO DE ZAMORA, ROSA</t>
  </si>
  <si>
    <t>ESPINOZA RIOS, ARMANDO</t>
  </si>
  <si>
    <t>ZAMORA DE FANOLA, MARIA ELENA</t>
  </si>
  <si>
    <t>CENTENO DE ALZAMORA, MARTINA</t>
  </si>
  <si>
    <t>ZAMORA DE YALLI, JULIA</t>
  </si>
  <si>
    <t>ENCISO ACHATA, CARMELA</t>
  </si>
  <si>
    <t>FAJARDO QUIROGA, CRISTOBAL</t>
  </si>
  <si>
    <t>QUISPE RAMOS, UBALDINA</t>
  </si>
  <si>
    <t>ZAMORA RIOS, ROSENDA</t>
  </si>
  <si>
    <t>ENCISO AYALA, DOROTEA</t>
  </si>
  <si>
    <t>ENCISO ZAMORA, GREGORIO</t>
  </si>
  <si>
    <t>PRADA ALCA, FELICITAS</t>
  </si>
  <si>
    <t>RIOS ZAMORA, RICARDINA</t>
  </si>
  <si>
    <t>HUAMANI MARQUEZ, DELIA</t>
  </si>
  <si>
    <t>GONZALES YALLI DE HUAMANI, NORMA</t>
  </si>
  <si>
    <t>ACHATA CUARESMA, RUFINA</t>
  </si>
  <si>
    <t>HUAMANI YALLI, FELICITAS</t>
  </si>
  <si>
    <t>CENTENO TAPIA, ZENOVIA</t>
  </si>
  <si>
    <t>HUAMANI DE BUSTOS, CELSA</t>
  </si>
  <si>
    <t>YALLI HUAMANI, AURELIA</t>
  </si>
  <si>
    <t>YANA CAIRA, RINA</t>
  </si>
  <si>
    <t>CCAPCHA SALAS, RUPERTA</t>
  </si>
  <si>
    <t>PEREZ PAUCAR, MATIASA</t>
  </si>
  <si>
    <t>ROMAN CORTEZ, ALEJANDRINA</t>
  </si>
  <si>
    <t>ROMAN CORTEZ, JUSTINA</t>
  </si>
  <si>
    <t>QUISPE QUISPE, JULIA</t>
  </si>
  <si>
    <t>SALGUERO CERON, NIEVES</t>
  </si>
  <si>
    <t>ACUÑA LLACHUA, AMANCIO</t>
  </si>
  <si>
    <t>MARTINEZ ROMAN, ROSARIO</t>
  </si>
  <si>
    <t>BENITES JUSRES, FELIPE</t>
  </si>
  <si>
    <t>ZEGARRA CASABLANCA, YURINANS</t>
  </si>
  <si>
    <t>CALLUCHI TELLO, CONSTANTINA</t>
  </si>
  <si>
    <t>BACA RIVERA, ROMALDA</t>
  </si>
  <si>
    <t>HUARCAYA CCARAHUAS, YONY</t>
  </si>
  <si>
    <t>CASABLANCA SOTELO, CARMEN REYNA</t>
  </si>
  <si>
    <t>TELLO CHIRIHUANA, JOSEFA</t>
  </si>
  <si>
    <t>CONTRERAS CONDORI, JANET YNES</t>
  </si>
  <si>
    <t>RICRA BENITES, CLEOFE</t>
  </si>
  <si>
    <t>SOLORZANO URBANO, TEOFILA</t>
  </si>
  <si>
    <t>BAZAN RICRA, NATIVIDAD</t>
  </si>
  <si>
    <t>HUALLPANCITA SULLCARANI, ELIAS</t>
  </si>
  <si>
    <t>CORTEZ LLACCHUA, LUDANI</t>
  </si>
  <si>
    <t>PAUCARIMA LLACHUA, ROSA</t>
  </si>
  <si>
    <t>GARAY GUITIERREZ, MAURA EMILIA</t>
  </si>
  <si>
    <t>QUISPE CERON, AMBROSIA</t>
  </si>
  <si>
    <t>SOLORZANO URBANO, SEGUNDINO</t>
  </si>
  <si>
    <t>HUIHUA CALLUCHI, LORENZO</t>
  </si>
  <si>
    <t>CORTEZ QUISPE, MELCHOR</t>
  </si>
  <si>
    <t>GARAY MEDINA, WALTER</t>
  </si>
  <si>
    <t>GARAY CERON, WALTER</t>
  </si>
  <si>
    <t>RAMIREZ QUISPE, HERMAN</t>
  </si>
  <si>
    <t>CARRASCO HUAYHUA, QUINTINA</t>
  </si>
  <si>
    <t>TELLO BUITRON, HERMELINDA LILIANA</t>
  </si>
  <si>
    <t>FLORES QUISPE, BERNARDO</t>
  </si>
  <si>
    <t>CORTEZ LLACHUA, FRANCISCO</t>
  </si>
  <si>
    <t>AGUILAR LLACCHUA DE TINGO, TORIVIA</t>
  </si>
  <si>
    <t>CUSTODIO NECOCHEA, DOMINGA</t>
  </si>
  <si>
    <t>QUISPE QUINTEROS, IRMA</t>
  </si>
  <si>
    <t>HUAMANI QUISPE, ZONIA</t>
  </si>
  <si>
    <t>CCARHUAS LLACCHUA DE CHIPANA, DIONICIA</t>
  </si>
  <si>
    <t>GARAY ACUÑA, DELIA SABINA</t>
  </si>
  <si>
    <t>BUITRON CERON DE TELLO, MARIA CONCEPCION</t>
  </si>
  <si>
    <t>CCAYHUA MEDRANO, RITA</t>
  </si>
  <si>
    <t>MOLINA ALARCON DE CERON, EDHY</t>
  </si>
  <si>
    <t>LLACHUA QUISPE, LUISA</t>
  </si>
  <si>
    <t>MOLINA ALARCON, TULA GRACIELA</t>
  </si>
  <si>
    <t>TELLO BUITRON, MARIA</t>
  </si>
  <si>
    <t>NECOCHEA ESTACIO, DAVID</t>
  </si>
  <si>
    <t>CHIPANA HUIHUA, BERNABE</t>
  </si>
  <si>
    <t>CAILLAHUA CAIPANE, ALBERTA</t>
  </si>
  <si>
    <t>SORAYA</t>
  </si>
  <si>
    <t>FLORES CONDORI, JUAN</t>
  </si>
  <si>
    <t>ONTON JUAREZ, DELIA</t>
  </si>
  <si>
    <t>TORREZ DIAZ, JULIO CESAR</t>
  </si>
  <si>
    <t>DIAZ AVALOS DE CCAPACCA, RICARDINA</t>
  </si>
  <si>
    <t>SARMIENTO ONTON, SABINA</t>
  </si>
  <si>
    <t>GONZALES QUISPE, MARGARITA</t>
  </si>
  <si>
    <t>QUILLAMA ALMIDON, FOLORA</t>
  </si>
  <si>
    <t>AYQUIPA SEGOVIA DE FOLRES, PRIMITIVA</t>
  </si>
  <si>
    <t>PALOMINO LEGUIA, ROSAURA</t>
  </si>
  <si>
    <t>ROSALES QUISPE DE PORTILLO, JULIA</t>
  </si>
  <si>
    <t>TERRAZAS ONTON, CELIA</t>
  </si>
  <si>
    <t>TORRES QUINTE, JESUS</t>
  </si>
  <si>
    <t>QUILLAMA ALMIDON, MIGUEL ANGEL</t>
  </si>
  <si>
    <t>TORAYA</t>
  </si>
  <si>
    <t>ENCISO TORRES DE CERVANTES, GENMA</t>
  </si>
  <si>
    <t>RIOS GUTIERREZ DE HUACCHARAQUE, LINA GABINA</t>
  </si>
  <si>
    <t>HUACCACHI LOPEZ DE MERINO, RAQUEL</t>
  </si>
  <si>
    <t>TORRES BARRIENTOS, MATILDE</t>
  </si>
  <si>
    <t>TELLO BENITES DE MERINO, BERNARDINA</t>
  </si>
  <si>
    <t>CHOQUE BENITES, ANTUANET SHERIDONSOLANS</t>
  </si>
  <si>
    <t>CARRASCO CARDOSO, DIONICIO</t>
  </si>
  <si>
    <t>CHAVEZ MIRANDA DE SALAZAR, ROSA</t>
  </si>
  <si>
    <t>BARRIENTOS VALDEZ, JOSE ANASTACIO</t>
  </si>
  <si>
    <t>SOTELO GUTIERREZ, RUBEN</t>
  </si>
  <si>
    <t>HUACCHARAQUE CALLA, MARTIN</t>
  </si>
  <si>
    <t>MERINO ACUÑA, VIDAL</t>
  </si>
  <si>
    <t>RODRIGUEZ TORRES, SANTA CRUZ</t>
  </si>
  <si>
    <t>URPE CARDENAS, ELSA ROSA</t>
  </si>
  <si>
    <t>SOLIS DEZA DE RODRIGUEZ, DOMINGA</t>
  </si>
  <si>
    <t>HUAMANI TORRES, ISABEL</t>
  </si>
  <si>
    <t>VALDEZ BENITES, NEMECIA JULIA</t>
  </si>
  <si>
    <t>CCALLALLI DEZA DE TORRES, YSABEL</t>
  </si>
  <si>
    <t>DEZA TELLO, JOSE ENRIQUE</t>
  </si>
  <si>
    <t>MARTINEZ ORDERES, TITO</t>
  </si>
  <si>
    <t>TELLO GUERRERO, GUILLERMO</t>
  </si>
  <si>
    <t>ROSALES CCORMORAY, JUSTINIANO</t>
  </si>
  <si>
    <t>PUITALLA BARRIENTOS, NANCY</t>
  </si>
  <si>
    <t>CCASANI CCORMARAY DE ROSALES, SAVINA</t>
  </si>
  <si>
    <t>TORRES MIRANDA, CESARIA</t>
  </si>
  <si>
    <t>MARTINEZ GUTIERREZ, ANTONIO</t>
  </si>
  <si>
    <t>MIRANDA AFENDAÑO DE SIHUIPANCCAR, YGIDIA</t>
  </si>
  <si>
    <t>RIOS FANOLA DE VALDEZ, CELESTINA PAULINA</t>
  </si>
  <si>
    <t>PUITALLA CORTEZ VDA DE JUAREZ, MATILDE</t>
  </si>
  <si>
    <t>JUAREZ PUITALLA, SERAFINA</t>
  </si>
  <si>
    <t>BUSTINZA ROJAS, TOMAS AQUINO</t>
  </si>
  <si>
    <t>ACUÑA DE LA CRUZ, MARILUZ</t>
  </si>
  <si>
    <t>BARRIENTOS ENCISO DE HUAMANI, TEOFILA BEATRIZ</t>
  </si>
  <si>
    <t>RODRIGUEZ CARRASCO, VILMA JESUS</t>
  </si>
  <si>
    <t>MARTINEZ ASCUE, ABEL</t>
  </si>
  <si>
    <t>BUSTINZA SALAS DE PALOMINO, JULIA</t>
  </si>
  <si>
    <t>CERVANTES TELLO, NANCY</t>
  </si>
  <si>
    <t>PAREDES HUAMANI DE RIVERA, CRISTINA</t>
  </si>
  <si>
    <t>ROSALES BARRIENTOS, ANATOLIA</t>
  </si>
  <si>
    <t>ENCISO HUAMANI DE BARRIENTOS, LEONIDAS</t>
  </si>
  <si>
    <t>DE LA CRUZ ENCISO DE BARRIENTOS, YRENE</t>
  </si>
  <si>
    <t>TELLO VEGA, PETRONILA</t>
  </si>
  <si>
    <t>PUITALLA BARRIENTOS, NATIVIDAD</t>
  </si>
  <si>
    <t>PAREDES ESTRADA, VALENTINA</t>
  </si>
  <si>
    <t>HUAMANI FANOLA DE CCASANI, PASCUALA</t>
  </si>
  <si>
    <t>BARRIENTOS TORRES, VICTOR FERMIN</t>
  </si>
  <si>
    <t>TORRES SALAZAR, RICARDINA</t>
  </si>
  <si>
    <t>PAREDES SALAS, JULIA</t>
  </si>
  <si>
    <t>GUTIERREZ PAREDES DE GUTIERREZ, JESUS</t>
  </si>
  <si>
    <t>MONDRAGON TORRES, BRUNO</t>
  </si>
  <si>
    <t>ARCE DE TELLO, ANTONIA</t>
  </si>
  <si>
    <t>RIOS ENCISO, HONORATO</t>
  </si>
  <si>
    <t>CARVAJAL HUAMANI, JUVITA</t>
  </si>
  <si>
    <t>ARONI VALDERRAMA, CORNELIA</t>
  </si>
  <si>
    <t>LLANCAYA ARONI, CECILIA</t>
  </si>
  <si>
    <t>AZARTE CONDE, AMADEO</t>
  </si>
  <si>
    <t>HUACCCHARAQUI VARGAS, NINO PERCY</t>
  </si>
  <si>
    <t>CONDE HUACCHARAQUI, EULALIA MARTINA</t>
  </si>
  <si>
    <t>PEREZ LLAMCCAYA, AUGUSTINA</t>
  </si>
  <si>
    <t>ÑAUPA AZARTE, MARCELINA</t>
  </si>
  <si>
    <t>CARITAS PEREZ, EVELYN STEFANY</t>
  </si>
  <si>
    <t>CALLA PACCO, TEOFILA</t>
  </si>
  <si>
    <t>HUACCHARAQUI VARGAS, FRANCISCA</t>
  </si>
  <si>
    <t>VALDERRAMA HILARIO, CATALINA</t>
  </si>
  <si>
    <t>NAUPE POCCO, ARISTERES</t>
  </si>
  <si>
    <t>CONDE VARGAS, VALERIA</t>
  </si>
  <si>
    <t>CUIPA GUERRERO, JACINTA</t>
  </si>
  <si>
    <t>CALLA PERREZ, LILIA NABIZA</t>
  </si>
  <si>
    <t>HUINCURO YAURI, HECTOR</t>
  </si>
  <si>
    <t>HUACCHARAQUI CALLA, ZACARIAS</t>
  </si>
  <si>
    <t>ATAHUA HUACCHARAQUI, ZACARIAS</t>
  </si>
  <si>
    <t>ÑAHUINLLA CCORMARAY, ANTONIA</t>
  </si>
  <si>
    <t>GUTIERREZ CALLA, LUISA</t>
  </si>
  <si>
    <t>LLAMCCAYA PEREZ, EMILIANA</t>
  </si>
  <si>
    <t>ANAMPA PEREZ, AURESTELA</t>
  </si>
  <si>
    <t>CUIPA GUERRERO, PASCUALA</t>
  </si>
  <si>
    <t>HUACCHARAQUI LUIS, TEOFILA</t>
  </si>
  <si>
    <t>CUCHILLO ORTIZ, GREGORIA</t>
  </si>
  <si>
    <t>SAAVEDRA HUACCHARAQUI, BALVINA</t>
  </si>
  <si>
    <t>ANAMPA PEREZ, SATURNINA</t>
  </si>
  <si>
    <t>HUARCCHARAQUI PONCE, PASCUAL</t>
  </si>
  <si>
    <t>PONCE HUILLCAYA, BENEDICTA</t>
  </si>
  <si>
    <t>DE LA TORRE HILARIO, LUCIA</t>
  </si>
  <si>
    <t>ÑAUPA HILARIO, MARIA MADGALENA</t>
  </si>
  <si>
    <t>TAIPE HUANCHARAQUI, HIPOLITO</t>
  </si>
  <si>
    <t>ORTIZ LLAMCCAYA, FELICITAS</t>
  </si>
  <si>
    <t>ÑAUPA CUIPA, BRAULIO</t>
  </si>
  <si>
    <t>VARGAS CUIPA, CIRILA</t>
  </si>
  <si>
    <t>PEREZ HILARIO, EDHY</t>
  </si>
  <si>
    <t>ANAMPA CCORMORAY, LUSMILA</t>
  </si>
  <si>
    <t>HUACCHARAQUI PONCE, VILMA ESTELA</t>
  </si>
  <si>
    <t>CALLE CUCHILLO, INES FRUCTUOSA</t>
  </si>
  <si>
    <t>CAURESMA TINCO, DOLORES</t>
  </si>
  <si>
    <t>ROJAS ARAGONEZ, JUANA GREGORIA</t>
  </si>
  <si>
    <t>ARONI NAHUINLLA, PAULA</t>
  </si>
  <si>
    <t>ORTIZ ROJAS, HUBER JOHNNY</t>
  </si>
  <si>
    <t>GARCIA HUACCHARAQUI, SABINA</t>
  </si>
  <si>
    <t>VARGAS CUIPA, JUSTO</t>
  </si>
  <si>
    <t>LLANCCAYA HUAMANI, SABINA</t>
  </si>
  <si>
    <t>CONTRERAS HILARIO, JACINTO</t>
  </si>
  <si>
    <t>GUTIERREZ ZEGARRA, SUSANA</t>
  </si>
  <si>
    <t>CUIPA LLANCCAYA, HERMITANIA</t>
  </si>
  <si>
    <t>SARMIENTO DE COSTILLA, MARIA MERCIDES</t>
  </si>
  <si>
    <t>GRAU</t>
  </si>
  <si>
    <t>CHUQUIBAMBILLA</t>
  </si>
  <si>
    <t>RAFAELE DE MOYNA, GRIMALDINA</t>
  </si>
  <si>
    <t>GARRAFA SOTO, EDWIN</t>
  </si>
  <si>
    <t>ARAMBURU PALOMINO, RAMIRO</t>
  </si>
  <si>
    <t>MICAELA BASTIDAS</t>
  </si>
  <si>
    <t>GARRAFA PAUCAR, DENIS</t>
  </si>
  <si>
    <t>GUTIERREZ RAIME, AVELINA</t>
  </si>
  <si>
    <t>MOINA COAQUIRA, FELIX HERNAN</t>
  </si>
  <si>
    <t>VARGAS VILLAFUERTE, BERNARDINO ALEJANDRO</t>
  </si>
  <si>
    <t>QUISPE FLORES, MARIVELL</t>
  </si>
  <si>
    <t>QUISPE CURI, SATURNINA</t>
  </si>
  <si>
    <t>MAMANI MENDOSA, JUSTINO</t>
  </si>
  <si>
    <t>PALOMINO MOYNA, QUINTINA</t>
  </si>
  <si>
    <t>INQUIL SANCHEZ, AMILCAR PANFILO</t>
  </si>
  <si>
    <t>YAGUNO GORDILLO, PURIFICADA</t>
  </si>
  <si>
    <t>CRUZ DE RAYME, CEFERINA</t>
  </si>
  <si>
    <t>QUINTANILLA PUMACAYO, ERNESTINA</t>
  </si>
  <si>
    <t>HULLCA CRUZ, BITO</t>
  </si>
  <si>
    <t>ARCE SAYA, GENOVEBA</t>
  </si>
  <si>
    <t>RAYME LEANDRO, ATANACIO</t>
  </si>
  <si>
    <t>FERREL SARMIENTO, VICTORIA</t>
  </si>
  <si>
    <t>CONTRERAS CURI, HERMEMIGILDO</t>
  </si>
  <si>
    <t>HUILLCA ACRA, FLORCITA</t>
  </si>
  <si>
    <t>RAYME MOYNA, JHAN MARY</t>
  </si>
  <si>
    <t>CCOSCCO CUEVA, HIPOLITO</t>
  </si>
  <si>
    <t>MOYNA RAYME, RENE</t>
  </si>
  <si>
    <t>CUEVA CAMARGO, FILIBERTO LEONCIO</t>
  </si>
  <si>
    <t>VARGAS DE SANCHEZ, FELICITAS</t>
  </si>
  <si>
    <t>MARROQUIN MOYNA, SIXTO</t>
  </si>
  <si>
    <t>RAYME CRUZ, SOLEDAD</t>
  </si>
  <si>
    <t>GOMEZ CONDORI, PROFETA</t>
  </si>
  <si>
    <t>AYQUIPA JURO, JESUS</t>
  </si>
  <si>
    <t>DOMA RAYME, JUANA</t>
  </si>
  <si>
    <t>RAYME FERREL, CELIA</t>
  </si>
  <si>
    <t>FLORES CONDORI, LUCILA</t>
  </si>
  <si>
    <t>RAYME DOMA, ABDON</t>
  </si>
  <si>
    <t>BIAS SALGADO, DIANE</t>
  </si>
  <si>
    <t>CONDORI RAYME, DINA</t>
  </si>
  <si>
    <t>ELGUERA VELILLE, RUBEN</t>
  </si>
  <si>
    <t>QUINTANILLA PUMACAYO, MARCELINA ALICIA</t>
  </si>
  <si>
    <t>ARCE DOMA, GIOVANNIA</t>
  </si>
  <si>
    <t>SOTO JAVIER, ANGELICA</t>
  </si>
  <si>
    <t>VILLEGAS GORDILLO, MARIA</t>
  </si>
  <si>
    <t>FERREL CCOYORI, NICOLASA</t>
  </si>
  <si>
    <t>MOINA VILLEGAS, SILIVA</t>
  </si>
  <si>
    <t>ALBACALLE MORCILLON, NATIVIDAD</t>
  </si>
  <si>
    <t>GALLEGO ALMIRON, PAULINA</t>
  </si>
  <si>
    <t>BALLON  BENITES, JAIME</t>
  </si>
  <si>
    <t>MOYNA JAVIER VDA DE LOAYZA, CECILIA</t>
  </si>
  <si>
    <t>MOYNA RAYME, ERASMO SEGUNDINO</t>
  </si>
  <si>
    <t>YAGUNO DEHUILCA, ANTONIA</t>
  </si>
  <si>
    <t>HUILLCA YAGUNO, VERONICA</t>
  </si>
  <si>
    <t>HUANACO FERREL, BENEDICTA</t>
  </si>
  <si>
    <t>ROMAN PUMACAYO, JORGE</t>
  </si>
  <si>
    <t>SALAZAR PUMACAYO, ALICIA</t>
  </si>
  <si>
    <t>SANCHEZ PUMACAYO, PAULINA</t>
  </si>
  <si>
    <t>SALAZAR CALLA, SINFOROSA</t>
  </si>
  <si>
    <t>COSTILLA VARGAS, FRANCISCA</t>
  </si>
  <si>
    <t>QUISPE MOYNA, ALEJANDRINA</t>
  </si>
  <si>
    <t>SALAZAR MIRANDA, MARIA CONCEPCION</t>
  </si>
  <si>
    <t>GUZMAN VARGAS, ANGELICA</t>
  </si>
  <si>
    <t>CUEVA SALAZAR, RITA</t>
  </si>
  <si>
    <t>AGUILAR CACERES, JULIA</t>
  </si>
  <si>
    <t>MAYA ZEA, MARIA EDELMIRA</t>
  </si>
  <si>
    <t>LOAYZA PALMA, JULIA</t>
  </si>
  <si>
    <t>CHUYMA HUILLCA, EUGENIO</t>
  </si>
  <si>
    <t>SUMARRIVA BACA, GRIMALDO</t>
  </si>
  <si>
    <t>RIVEROS SOEL, RUDECINDA</t>
  </si>
  <si>
    <t>SULLCA MANUELO, VIRGINIA</t>
  </si>
  <si>
    <t>AQUINO SERRANO, FRANCISCO</t>
  </si>
  <si>
    <t>SINCE RAFAELE, TERESA</t>
  </si>
  <si>
    <t>CATALAN ATANACIO, CANDELARIA</t>
  </si>
  <si>
    <t>QUISPE FLORES, LEONARDO</t>
  </si>
  <si>
    <t>TOMAYLLA QUISPE, FORTUNATA</t>
  </si>
  <si>
    <t>PINARES JUAREZ, FELICITAS</t>
  </si>
  <si>
    <t>CAYTUIRO TOMAYLLA, MARCELINO</t>
  </si>
  <si>
    <t>WARTHON QUINTANILLA, MARITZA</t>
  </si>
  <si>
    <t>CABRERA QUISPE, JUVENAL</t>
  </si>
  <si>
    <t>TOMAYLLA VARGAS, CARMENA</t>
  </si>
  <si>
    <t>ROJAS PALMA, JUANA IRENE</t>
  </si>
  <si>
    <t>TAPIA CABRERA, HILDA</t>
  </si>
  <si>
    <t>TAPIA SOEL, MARIA</t>
  </si>
  <si>
    <t>SANCHEZ JUAREZ, MIGUEL</t>
  </si>
  <si>
    <t>AGUILAR RIVEROS, RENE</t>
  </si>
  <si>
    <t>ZEVALLOS LUNA, ALEXANDRA DOLORES</t>
  </si>
  <si>
    <t>VARGAS ARONE, PRIMITIVA</t>
  </si>
  <si>
    <t>MEDINA WARTHON, EMPERATRIZ RUTY</t>
  </si>
  <si>
    <t>CARBAJAL GOMEZ, CEPRIANA</t>
  </si>
  <si>
    <t>NINA QUISPE, MAGDALENA</t>
  </si>
  <si>
    <t>QUINTO VARGAS, FRAN KLIEN</t>
  </si>
  <si>
    <t>MARIACA TAPIA, FELICITAS</t>
  </si>
  <si>
    <t>PUMA FLORES, ZENON</t>
  </si>
  <si>
    <t>OTERO ZEA, NESTOR</t>
  </si>
  <si>
    <t>JANAMPA VALENZUELA, ADEL</t>
  </si>
  <si>
    <t>JANAMPA SULCA, ESTANISLAO</t>
  </si>
  <si>
    <t>SALGADO DE WARTHON, LUISA VENUS</t>
  </si>
  <si>
    <t>PANIAGUA GARRAFA, WILBER</t>
  </si>
  <si>
    <t>VALENZUELA BARRIENTOS, HUBER</t>
  </si>
  <si>
    <t>HUAMAN ASTO DE ESCALANTE, MARCOSA</t>
  </si>
  <si>
    <t>HUAMANI ATANACIO, DELFIN</t>
  </si>
  <si>
    <t>VILLEGAS CASAVERDE, PAULINO</t>
  </si>
  <si>
    <t>VARGAS BAUTISTA, DONATO</t>
  </si>
  <si>
    <t>TORRES FERRO, AVELINA</t>
  </si>
  <si>
    <t>TUERO ALVAREZ, BALVINA</t>
  </si>
  <si>
    <t>QUISPE SOEL, JOSEFA</t>
  </si>
  <si>
    <t>CHUYMA SOEL, LIDIA</t>
  </si>
  <si>
    <t>MENEJES MONTES, EVARISTA ELENA</t>
  </si>
  <si>
    <t>CABRERA CONDORI, JULIA</t>
  </si>
  <si>
    <t>VILCA RIVEROS, LEONCIA</t>
  </si>
  <si>
    <t>SEGOVIA GONZALES, NELY</t>
  </si>
  <si>
    <t>SOEL VARGAS, SOFIA</t>
  </si>
  <si>
    <t>CARDENAS CRUZ, LUIS JAVIER</t>
  </si>
  <si>
    <t>VARGAS CHUYMA, SARA</t>
  </si>
  <si>
    <t>HURTADO ROMAN, NAZARIA</t>
  </si>
  <si>
    <t>CHUYMA SOEL, SILVIA</t>
  </si>
  <si>
    <t>BAUTISTA HUAMANI, MARCELINA</t>
  </si>
  <si>
    <t>CHIPAYO CONCHA, JUANA</t>
  </si>
  <si>
    <t>SULLCA MANUELO, RICARDINA</t>
  </si>
  <si>
    <t>VARGAS HUILLCA, GAVINO</t>
  </si>
  <si>
    <t>CAYTUIRO TAPIA, YANETH</t>
  </si>
  <si>
    <t>VARGAS QUIVIO, IRENE</t>
  </si>
  <si>
    <t>ACRA YAGUNO, COBIAN</t>
  </si>
  <si>
    <t>LOAYZA CASTAÑEDA, FELICITAS</t>
  </si>
  <si>
    <t>SILVA CAYTUIRO, NICOLAS</t>
  </si>
  <si>
    <t>HURTADO UMERES, SAIDA</t>
  </si>
  <si>
    <t>MENEJES MIRANDA, EVA</t>
  </si>
  <si>
    <t>HUARANCA TTUPA, ESTEBAN</t>
  </si>
  <si>
    <t>CONCHA HURTADO, ANA MARIA</t>
  </si>
  <si>
    <t>RETHES SARMIENTO, YOLANDA</t>
  </si>
  <si>
    <t>MAMANI COAQUIRA, JULY</t>
  </si>
  <si>
    <t>AGRADA VARGAS, ALBINO</t>
  </si>
  <si>
    <t>AGUILAR SERRANO, GERMAN IGNACIO</t>
  </si>
  <si>
    <t>AGRADA VARGAS, JORGE</t>
  </si>
  <si>
    <t>CERDA GUZMAN, SIMON</t>
  </si>
  <si>
    <t>LOVON TARAPAQUI, NAZARIA</t>
  </si>
  <si>
    <t>CHALCO SUBELETE, VILMA</t>
  </si>
  <si>
    <t>VALENZUELA VILLEGAS, BIBIANA</t>
  </si>
  <si>
    <t>BACA CONDORI, DELFINA</t>
  </si>
  <si>
    <t>SIANCAS LLUFIRE, AGUSTINA</t>
  </si>
  <si>
    <t>RAFAELE MUENA, NERY</t>
  </si>
  <si>
    <t>TUIRO DE SERRANO, LIBIA</t>
  </si>
  <si>
    <t>BERRIO ROCA, EZEQUIEL</t>
  </si>
  <si>
    <t>CASAVERDE WARTHON, ALFREDO</t>
  </si>
  <si>
    <t>PEÑA WARTHON, IRENE</t>
  </si>
  <si>
    <t>SOTO JARA, NICOLAS JULIO</t>
  </si>
  <si>
    <t>ROMAN HUILLCA, GENOVEVA</t>
  </si>
  <si>
    <t>LOLINTA MANUELO, JORGE RAMIRO</t>
  </si>
  <si>
    <t>CASTRO HUAMANORCCO, GILBER</t>
  </si>
  <si>
    <t>BEDIA PEREZ, GREGORIA</t>
  </si>
  <si>
    <t>QUIVIO SERRANO, TEODORO</t>
  </si>
  <si>
    <t>BEDIA LOAYZA, EDHUAR</t>
  </si>
  <si>
    <t>GALLEGOS PERALTA, ELIZABETH</t>
  </si>
  <si>
    <t>ROMAN PERALTA, CLEMENTE</t>
  </si>
  <si>
    <t>MOLINA PALMA, LUZ MARINA</t>
  </si>
  <si>
    <t>INFANTES CAYLLAHUA, NOE</t>
  </si>
  <si>
    <t>SERRANO SARMIENTO, RAUL</t>
  </si>
  <si>
    <t>ARONI PALOMINO, ANTOLIN</t>
  </si>
  <si>
    <t>CRUZADO MERCEDES, GIOVANNA</t>
  </si>
  <si>
    <t>CHIPA CERVANTES, JUAN</t>
  </si>
  <si>
    <t>BLAS PORTOCARRERO, LUCY</t>
  </si>
  <si>
    <t>VALENZUELA CUELLAR, FELICITAS</t>
  </si>
  <si>
    <t>CARBAJAL LUPINTO, LEONOR</t>
  </si>
  <si>
    <t>ALMIRAN PABLO, EMPERATRIZ</t>
  </si>
  <si>
    <t>VERA REMACHE, JULIA</t>
  </si>
  <si>
    <t>VALENZUELA PEÑA, CHARITO ROSARIO</t>
  </si>
  <si>
    <t>VALENZUELA TAPI, CESAR</t>
  </si>
  <si>
    <t>LEO TAPIA, BRAULIO</t>
  </si>
  <si>
    <t>CAYTUIRO SILVA, VICTORIA DOLORES</t>
  </si>
  <si>
    <t>DE LA VEGA CATALAN, ERIKA</t>
  </si>
  <si>
    <t>QUIVIO OBLITAS, VIRGINIA</t>
  </si>
  <si>
    <t>CURPAHUASI</t>
  </si>
  <si>
    <t>BERMUDES LUCAS, LUCIA</t>
  </si>
  <si>
    <t>MALLMA ORCCORI, TEOFILO</t>
  </si>
  <si>
    <t>LAYME HERRERA, WINDER</t>
  </si>
  <si>
    <t>HERRERA HUARANCCA, GENEVEVA</t>
  </si>
  <si>
    <t>LLACTACONDOR CASTRO, MERI</t>
  </si>
  <si>
    <t>PANIAGUA GARRAFA, LUIS ANGEL</t>
  </si>
  <si>
    <t>SARMIENTO ANGULO, BERNARDINO</t>
  </si>
  <si>
    <t>SANABRIA BEDIA, ANDREA</t>
  </si>
  <si>
    <t>BERMUDES LUCAS, MARCOSA</t>
  </si>
  <si>
    <t>CABRERA RPDRIGUEZ, OCTAVIO</t>
  </si>
  <si>
    <t>CARBAJAL PEREZ, VICTOR</t>
  </si>
  <si>
    <t>LLACTACONDOR CRUZ, ZENON</t>
  </si>
  <si>
    <t>HUAMAN HUAMANHORCCO, JUANA</t>
  </si>
  <si>
    <t>TORRES TUERO, GLADYS</t>
  </si>
  <si>
    <t>ZANABRIA BEDIA, GRACIELA</t>
  </si>
  <si>
    <t>ZANABRIA BEDIA, EDISON</t>
  </si>
  <si>
    <t>QUISPE VARGAS, JUANA</t>
  </si>
  <si>
    <t>CABRERA LLACTACONDOR, REYNA</t>
  </si>
  <si>
    <t>CABRERA BRAVO, SAMUEL</t>
  </si>
  <si>
    <t>AYERVE HUAMANI, SOFIA</t>
  </si>
  <si>
    <t>HUASCAR ROMAN, LINO TEODOR</t>
  </si>
  <si>
    <t>QUISPE ARONE DE TUERO, ISIDORA</t>
  </si>
  <si>
    <t>CONDORPUSA QUIRQUIHUAÑA, EPIFANIA</t>
  </si>
  <si>
    <t>TUERO SOLIS, ADOLFO</t>
  </si>
  <si>
    <t>SANCHEZ JUAREZ, OLGA FELICIANA</t>
  </si>
  <si>
    <t>MUÑOZ ACHINQUIPA, MARIA MAGDALENA</t>
  </si>
  <si>
    <t>JURO PERES DEBEDIA, BACILIA</t>
  </si>
  <si>
    <t>CARRASCO FERREL, BERTHA</t>
  </si>
  <si>
    <t>SOTOMAYOR BEDIA, SULMA</t>
  </si>
  <si>
    <t>PADILLA SARMIENTO, SACARIAS</t>
  </si>
  <si>
    <t>TORRES TUERO, SONILDA</t>
  </si>
  <si>
    <t>PANIAGUA ROMAN, ANTONINO</t>
  </si>
  <si>
    <t>TUERO JURO, WALTER</t>
  </si>
  <si>
    <t>PADILLA SIERRA, CYNTHIA</t>
  </si>
  <si>
    <t>JURO PEREZ, CARLOS</t>
  </si>
  <si>
    <t>BARRIOS CHICLLA, NATIVIDO</t>
  </si>
  <si>
    <t>GONZALES PALOMINO, ROXANA</t>
  </si>
  <si>
    <t>ESCALANTE BARRIOS, SONIA</t>
  </si>
  <si>
    <t>BARRIOS ORCCORI, CLAUDIA</t>
  </si>
  <si>
    <t>GONZALES COSIO, HAYDEE</t>
  </si>
  <si>
    <t>CHIRINOS HURTADO, ROMUALDO</t>
  </si>
  <si>
    <t>CHIRINOS BARRIOS, GILBER</t>
  </si>
  <si>
    <t>MOLINA IZQUIERDO, JULIA</t>
  </si>
  <si>
    <t>SOTTA ESCALANTE, ALEXANDER</t>
  </si>
  <si>
    <t>DAMIAN PALOMINO, GABINA</t>
  </si>
  <si>
    <t>CHIRINOS PALOMINO, LEONARDA</t>
  </si>
  <si>
    <t>OCHOA ARTEAGA, SIXTA</t>
  </si>
  <si>
    <t>GAYOSO MOSQUEIRA, DARWIN MARIO</t>
  </si>
  <si>
    <t>HUAYLLATI</t>
  </si>
  <si>
    <t>BARRIENTOS MOSQUEIRA, GABRIEL</t>
  </si>
  <si>
    <t>CONDORI MOLINA, ISABEL NELLY</t>
  </si>
  <si>
    <t>PORTILLA PUMA, ISABEL</t>
  </si>
  <si>
    <t>BARCENA PORTILLO, MARIA</t>
  </si>
  <si>
    <t>SOTO CABRERA, ROSA</t>
  </si>
  <si>
    <t>CCANSAYA NENA, ANGELICA</t>
  </si>
  <si>
    <t>BARRIENTOS MOSQUEIRA, JULIA</t>
  </si>
  <si>
    <t>CRUZ RAMIREZ, GEORGINA</t>
  </si>
  <si>
    <t>ANCCO HUAMAN, PILAR</t>
  </si>
  <si>
    <t>VILLENA ENRIQUEZ, CARMEN</t>
  </si>
  <si>
    <t>SOTO MOSQUEIRA, MARCOSA</t>
  </si>
  <si>
    <t>CAMERO CONDORI, NIEVES</t>
  </si>
  <si>
    <t>NIETO BARRIENTOS, MACARIO</t>
  </si>
  <si>
    <t>CATALAN CONDORI, FRANKLIN CECILIO</t>
  </si>
  <si>
    <t>GIRAU GARCIA, GRICELDA</t>
  </si>
  <si>
    <t>MONTERREY PORTILLA, TERESA</t>
  </si>
  <si>
    <t>SOTO MOSQUEIRA, PASCUALA</t>
  </si>
  <si>
    <t>CAMERO MOSQUEIRA, ALIDA TERESITA</t>
  </si>
  <si>
    <t>CAMERO MOSQUEIRA, EDWIN RICHARD</t>
  </si>
  <si>
    <t>CAMERO MOSQUEIRA, MANUEL CRISPIN</t>
  </si>
  <si>
    <t>SERGOVIA ANCCO, CLIMIA</t>
  </si>
  <si>
    <t>SOTO GOMEZ, FORTUNATO</t>
  </si>
  <si>
    <t>SOTO GOMEZ, JULIAN</t>
  </si>
  <si>
    <t>CONDORI HUISA, YGNACIO</t>
  </si>
  <si>
    <t>CCANSAYA SIHUINCHA, PILAR</t>
  </si>
  <si>
    <t>MELGAREJO QUISPETIRA, FACUNDINA</t>
  </si>
  <si>
    <t>SEGOVIA ANCCO, ALEJANDRA</t>
  </si>
  <si>
    <t>BARRIENTOS MELGAREJO, TEOFILO</t>
  </si>
  <si>
    <t>AGUIRRE QUISPE, MANETH</t>
  </si>
  <si>
    <t>PEREZ BRAVO, VICTORIA</t>
  </si>
  <si>
    <t>CCASANI SIHUINCHA, GRISELDA</t>
  </si>
  <si>
    <t>CERDA CATALAN, DANIEL</t>
  </si>
  <si>
    <t>QUINTANILLA SOTO, AMPARO</t>
  </si>
  <si>
    <t>COMENTERO HUISA, MONICA</t>
  </si>
  <si>
    <t>PORTILLA CRUZ, MIGUELITA</t>
  </si>
  <si>
    <t>MELGAREJO QUISPETIRA, GREGORIA</t>
  </si>
  <si>
    <t>MOSQUEIRA MELGAREJO, JULIO</t>
  </si>
  <si>
    <t>SOTO DE ECHEVERRIA, CONSTANTINA</t>
  </si>
  <si>
    <t>JARAMILLO RAMOS, ROQUE</t>
  </si>
  <si>
    <t>ARIAS TAPIA, AGRIPINO</t>
  </si>
  <si>
    <t>AGUIRRE CATALAN, HUGO</t>
  </si>
  <si>
    <t>VARGAS CCOCORI, MAURO</t>
  </si>
  <si>
    <t>CRUZ CONDORI, CECILIO</t>
  </si>
  <si>
    <t>HUISA ECHEBARRIA, MARGARITA CORTONA</t>
  </si>
  <si>
    <t>LIMA INCA, CARMEN ROSA</t>
  </si>
  <si>
    <t>SOTO MOSQUEIRA, JUSTA LEONOR</t>
  </si>
  <si>
    <t>MACHACA DE CERESEDA, VICTORIA</t>
  </si>
  <si>
    <t>VARGAS CCANSAYA, VALENTIN</t>
  </si>
  <si>
    <t>NINA ALFARO, YSABEL</t>
  </si>
  <si>
    <t>LUNA AGUIRRE, ILDEFONSO</t>
  </si>
  <si>
    <t>QUISPE VARGAS, ANCELMO</t>
  </si>
  <si>
    <t>ASTO CCOYURI, CARMEN ROSA</t>
  </si>
  <si>
    <t>QUISPE MOYA, TEODORA</t>
  </si>
  <si>
    <t>CCOYURI LIRA, LUISA</t>
  </si>
  <si>
    <t>CCOYORI LIRA, FAUSTINO</t>
  </si>
  <si>
    <t>AGUIRRE QUISPE, ELSA</t>
  </si>
  <si>
    <t>CCOYURI CHUMBESUCA, LUIS</t>
  </si>
  <si>
    <t>CCOYURI HUACHUÑAHUINLLA, MAURO</t>
  </si>
  <si>
    <t>LANTARON NAVEROS, JUAN</t>
  </si>
  <si>
    <t>CCOYURI HUISARAYME, JOSEFINA</t>
  </si>
  <si>
    <t>PINARES CCOYORI, ALICIA</t>
  </si>
  <si>
    <t>PINARES HUAMAN, MARIA</t>
  </si>
  <si>
    <t>HUAMAN LIMA, AURELIO EMILIANO</t>
  </si>
  <si>
    <t>CCOYORI PINARES, DIONICIA</t>
  </si>
  <si>
    <t>CCOYURE HUISARAYME, ALEJANDRINA  JULIANA</t>
  </si>
  <si>
    <t>CONDORI CCOYORI, JUAN</t>
  </si>
  <si>
    <t>CORDOVA LLANCA, MARISOL</t>
  </si>
  <si>
    <t>SOTO MONTERREY, AQUILINA</t>
  </si>
  <si>
    <t>MELGAREJO THIA, ADRIELA</t>
  </si>
  <si>
    <t>HUAMAN QUISPE, MACALY</t>
  </si>
  <si>
    <t>CATALAN QUISPITIRA, ELICEO</t>
  </si>
  <si>
    <t>MONTERREY CAMERO, LUISA</t>
  </si>
  <si>
    <t>BARRIENTOS CRUZ, LUCIO ANTONIO</t>
  </si>
  <si>
    <t>JARAMILLO SOTO, BETTY</t>
  </si>
  <si>
    <t>LLANQUE TAPIA, YSABEL VISITACION</t>
  </si>
  <si>
    <t>MOLINA CRUZ, ALEJANDRINA</t>
  </si>
  <si>
    <t>MOLINA CRUZ, LUCILA</t>
  </si>
  <si>
    <t>HUAMAN GOMEZ, ELENA</t>
  </si>
  <si>
    <t>CATALAN CHUMBISUCA, FELICITAS</t>
  </si>
  <si>
    <t>HUAMANI NIETO, ALBERTO</t>
  </si>
  <si>
    <t>THIA CCOYURI, SEGUNDINA FORTUNATA</t>
  </si>
  <si>
    <t>PEREIRA GOMEZ, ZOILO</t>
  </si>
  <si>
    <t>PEREYRA PSLOMINO, AMPARO</t>
  </si>
  <si>
    <t>JURO GAYOSO, MAXIMILIANA</t>
  </si>
  <si>
    <t>PORTILLA HUACHACA, ODILON</t>
  </si>
  <si>
    <t>PORTILLA HUACHACA, JULIA</t>
  </si>
  <si>
    <t>CONDORI GRAVEL, VICTORINA</t>
  </si>
  <si>
    <t>PORTILLA CRUZ, ADRIEL</t>
  </si>
  <si>
    <t>ANCCO ORTIZ, MAGDALINA</t>
  </si>
  <si>
    <t>UMERES SIHUINCHA, BACILIA</t>
  </si>
  <si>
    <t>CATALAN CCASANI, PLACIDA</t>
  </si>
  <si>
    <t>PORTILLA SALGUERON, CERILA</t>
  </si>
  <si>
    <t>SIHUINCHA PORTILLA, GENARO</t>
  </si>
  <si>
    <t>HUACHACA CCOYURE, CLAUDIA AGUSTINA</t>
  </si>
  <si>
    <t>CATALAN CABRERA, TERESA</t>
  </si>
  <si>
    <t>GARCIA TAPIA DE HUILLCA, CLEOFE</t>
  </si>
  <si>
    <t>DELGADO ARCOS, EMETERIO</t>
  </si>
  <si>
    <t>CHUMBISUCA NAVEROS, FRANCISCA</t>
  </si>
  <si>
    <t>BERRIO CATALAN, ADELMA</t>
  </si>
  <si>
    <t>ARCOS CATALAN, MARCELINA</t>
  </si>
  <si>
    <t>ARIAS NAVARRO, YANET</t>
  </si>
  <si>
    <t>SOTO NAVEROS, VALENTINA</t>
  </si>
  <si>
    <t>SALGUERON GALLEGOS, FRANCISCA</t>
  </si>
  <si>
    <t>HUISA SALGUERON, ALEJANDRO</t>
  </si>
  <si>
    <t>UMERES CHINEA, LUIS BELTRAN</t>
  </si>
  <si>
    <t>UMERES DELGADO, JUAN CANCIO</t>
  </si>
  <si>
    <t>HUILLCA GARCIA, ESTELITA</t>
  </si>
  <si>
    <t>CRUZ CONDORI, JHONY</t>
  </si>
  <si>
    <t>CCOYURI HUAMAN, CRISTINA</t>
  </si>
  <si>
    <t>CRIOLLO SIHUINCHA, NAZARIA</t>
  </si>
  <si>
    <t>CARPIO JARAMILLO, EMPERATRIZ</t>
  </si>
  <si>
    <t>ESPINOZA NAVEROS, EDISON</t>
  </si>
  <si>
    <t>CERECEDA JARAMILLO, LUISA BELEN</t>
  </si>
  <si>
    <t>CATALAN CARPIO, AGRIPINA</t>
  </si>
  <si>
    <t>GAYOSO MONTERREY, NILDA</t>
  </si>
  <si>
    <t>MAMARA</t>
  </si>
  <si>
    <t>MOYNA PUMACAYO, ESTEBAN ANTOLIN</t>
  </si>
  <si>
    <t>BOCANGEL PINARES, YANET PATRICIA</t>
  </si>
  <si>
    <t>ATANACIO CRUZ, FAUSTINA</t>
  </si>
  <si>
    <t>FERRO VERA, MELCHORA</t>
  </si>
  <si>
    <t>SIME QUISPE, JULIA</t>
  </si>
  <si>
    <t>SICLLA MONTOYA, VICENTINA</t>
  </si>
  <si>
    <t>PANIORA MONTOYA, GREGORIA</t>
  </si>
  <si>
    <t>QUISPE VALDERRAMA, GRIMALDA</t>
  </si>
  <si>
    <t>GUTIERREZ RAIME, JULIAN</t>
  </si>
  <si>
    <t>CASTILLO CHIPAU, ANDRES CORSIÑO</t>
  </si>
  <si>
    <t>PUMA OCHOA, ASENCIA</t>
  </si>
  <si>
    <t>MONTOYA PUMA, ANA MARIA</t>
  </si>
  <si>
    <t>PUMARAYME LOPEZ, MARIA</t>
  </si>
  <si>
    <t>PUMACAYO HUARANCCA, MARITHZA</t>
  </si>
  <si>
    <t>VERA ARAMBURU, SALOMON</t>
  </si>
  <si>
    <t>HUARANCCA PUMACAYO, MARCOSA</t>
  </si>
  <si>
    <t>LOA DE SIANCAS, BEATRIZ</t>
  </si>
  <si>
    <t>HUARANCCA ORTIZ, ROMUALDO RICARDO</t>
  </si>
  <si>
    <t>PUMACAYO HUARANCCA, FORTUNATA</t>
  </si>
  <si>
    <t>QUISPE HURTADO, ANDRES</t>
  </si>
  <si>
    <t>LUCERO LOPEZ, LUIS ANTONIO</t>
  </si>
  <si>
    <t>RATA HUAMANI, AVELINA</t>
  </si>
  <si>
    <t>BERMUDEZ AFATA, ALEJA</t>
  </si>
  <si>
    <t>CALLA QUISPQHUAMAN, VICTORIANO</t>
  </si>
  <si>
    <t>SANCHEZ SARMIENTO, FROYLAN</t>
  </si>
  <si>
    <t>OROPESA</t>
  </si>
  <si>
    <t>GOMEZ ANAYHUACHACA, MARIA</t>
  </si>
  <si>
    <t>HUARHUA SURQUISLLA, FLORENCIA</t>
  </si>
  <si>
    <t>FLORIDO CRUZ, DOMINGA CALSADA</t>
  </si>
  <si>
    <t>HUARHUA HUACHACA, ADELAIDA</t>
  </si>
  <si>
    <t>SARMIENTO BUENDIA, RUTY</t>
  </si>
  <si>
    <t>FLORES HUACHACA, ANA</t>
  </si>
  <si>
    <t>BUENDIA HUACHACA, SALOME</t>
  </si>
  <si>
    <t>SUNQUISLLA LLACTAHUAMANI, SANTIAGO IRENEO</t>
  </si>
  <si>
    <t>APAZA ALEGRIA, PEDRO DAMIAN</t>
  </si>
  <si>
    <t>GOMEZ CCOSCCO, AGRIPINA</t>
  </si>
  <si>
    <t>CHIPANA ROJAS, EDY</t>
  </si>
  <si>
    <t>PACHACAMAC PANIORA, SOFIA CORNELIA</t>
  </si>
  <si>
    <t>TURPAY</t>
  </si>
  <si>
    <t>VERA ORTIZ, YSABEL</t>
  </si>
  <si>
    <t>BRAVO PALOMINO, ALCIDA</t>
  </si>
  <si>
    <t>SARMIENTO LLACTAHUAMANI, ESTHER</t>
  </si>
  <si>
    <t>GOMEZ BUENDIA DE SANCHEZ, TEODORA</t>
  </si>
  <si>
    <t>LLACTAHUAMANI ISABEL, GOMEZ</t>
  </si>
  <si>
    <t>ALEGRIA FLORES, YIME</t>
  </si>
  <si>
    <t>COSTILLO HUAMAN, JUAN</t>
  </si>
  <si>
    <t>CHIPANI ALEGRIA, VIRGUINIA</t>
  </si>
  <si>
    <t>VERA CAHUANA, CRISTINA</t>
  </si>
  <si>
    <t>PRIETO FLORES, HILDA</t>
  </si>
  <si>
    <t>HUAMANI CORDILLO, EUSEBIA</t>
  </si>
  <si>
    <t>ESCALANTE VILLAFUERTE, CASIMIRA</t>
  </si>
  <si>
    <t>MAYHUIRE GOMEZ, GREGORIA</t>
  </si>
  <si>
    <t>LLACTAHUAMANI CHIPANI, FREDY</t>
  </si>
  <si>
    <t>ENCALADA VERA, JUAN ALLENDE</t>
  </si>
  <si>
    <t>ANDAGUA HAYHUA, JESUS MACARIO</t>
  </si>
  <si>
    <t>HUARHUA FLORES, SILVIA</t>
  </si>
  <si>
    <t>FELIX PACHACAMA, GERBER</t>
  </si>
  <si>
    <t>CAHUANA GOMEZ, LUCILA</t>
  </si>
  <si>
    <t>HUAMANQUISPE GOMEZ, ANTONIO RUNALFO</t>
  </si>
  <si>
    <t>BUENDIA HUILLCA, CERILA SANTOSA</t>
  </si>
  <si>
    <t>LLACTAHUAMANI CHIPANI DE HUARHUA, ROSARIO</t>
  </si>
  <si>
    <t>SANCHEZ PRIETO, ISAAC</t>
  </si>
  <si>
    <t>HUILLCA GOMEZ DE BUENDIA, FELICITAS</t>
  </si>
  <si>
    <t>GOMEZ CHUMBE, MARITZA</t>
  </si>
  <si>
    <t>SANCHEZ MOSCOSO, LUCRECIA ALEJANDRINA</t>
  </si>
  <si>
    <t>LLACTAHUAMANI HUARHUA, MARCELINO PEDRO</t>
  </si>
  <si>
    <t>ORDOÑES DE AYALA, ROSA</t>
  </si>
  <si>
    <t>AYALA LARREA, ROSA FULGENCIA</t>
  </si>
  <si>
    <t>GOMEZ HUILLCA, HEMELINDA</t>
  </si>
  <si>
    <t>FLORES PANCHE, ELVER</t>
  </si>
  <si>
    <t>SULLO ANDAGUA, NILDA</t>
  </si>
  <si>
    <t>CCOYORE VERA, CARMEN CIRILA</t>
  </si>
  <si>
    <t>HUILCAPANIURA CAHUANA, DALMIRO</t>
  </si>
  <si>
    <t>GOMEZ HUILLCAPANIURA, LEONCIO</t>
  </si>
  <si>
    <t>CENTENO ANDAGUA, MATILDE MARIA</t>
  </si>
  <si>
    <t>PUMARAYME BUENDIA, PAULINA</t>
  </si>
  <si>
    <t>HUARHUA ENCALADA, GUMERSINDA</t>
  </si>
  <si>
    <t>SANDOVAL HUICAPANIORA, FELICITAS</t>
  </si>
  <si>
    <t>SANDOVAL LLACTAHUAMANI, REYNA</t>
  </si>
  <si>
    <t>HUILLCA MAYHUIRE, FILOMENA</t>
  </si>
  <si>
    <t>COSIO VEGA, MARTHA ELIZABETH</t>
  </si>
  <si>
    <t>SANCHEZ FLOREZ DE SARMIENTO, ELENA</t>
  </si>
  <si>
    <t>PACHACAMA AFATA, VICTORIA</t>
  </si>
  <si>
    <t>HUARHUA SARMIENTO, EUGENIA</t>
  </si>
  <si>
    <t>FELIX PACHACAMA, YOVANA</t>
  </si>
  <si>
    <t>HUAMANI HUAMANI, ISABEL</t>
  </si>
  <si>
    <t>HUILLCA RABELO, MARIA CHARO</t>
  </si>
  <si>
    <t>GOMEZ SARMIENTO, ROSA</t>
  </si>
  <si>
    <t>HUAMANI SANDOVAL, AURELIA</t>
  </si>
  <si>
    <t>FLORE RABELO, JULIO HERACLIO</t>
  </si>
  <si>
    <t>HUILLCA GOMEZ, ELENA</t>
  </si>
  <si>
    <t>LLACTAHUAMANI RABELO, JUANITA</t>
  </si>
  <si>
    <t>SEÑO GOMEZ, MARCELINO CLETO</t>
  </si>
  <si>
    <t>HUAMANGA CHIPANI, FELIPE JUAN</t>
  </si>
  <si>
    <t>CHIPANE FLORIDO, HERLINDA</t>
  </si>
  <si>
    <t>GOMEZ GOMEZ, GRACIELA</t>
  </si>
  <si>
    <t>FLORES HUILLCA, VERONICA MODESTA</t>
  </si>
  <si>
    <t>GOMEZ SURQUISLLA, VALENTIN GABINO</t>
  </si>
  <si>
    <t>PUMA FLORIDO, NORMA</t>
  </si>
  <si>
    <t>SANDOVAL TAYPE, FELIMON</t>
  </si>
  <si>
    <t>SURQUISLLA ANDAGUA, ROMALDINA</t>
  </si>
  <si>
    <t>GOMEZ SURQUISLLA, DAVID</t>
  </si>
  <si>
    <t>GOMEZ ARANGO, RUBEN</t>
  </si>
  <si>
    <t>BUENDIA HUAMANQUISPE, NATIVIDAD ANASTACIA</t>
  </si>
  <si>
    <t>CHIPANE SOLANO, SUSANA</t>
  </si>
  <si>
    <t>HUAMANGA CHIPANE, VALENTINA</t>
  </si>
  <si>
    <t>LUIS ROCA, ALFREDO HERBERTH</t>
  </si>
  <si>
    <t>ANDAHUA RABELO, ALIPIO</t>
  </si>
  <si>
    <t>CHIPANE PACCO, ISABEL</t>
  </si>
  <si>
    <t>CHIPANE GOMEZ, MARGARITA TOMASA</t>
  </si>
  <si>
    <t>ALEGRIA LLACTAHUAMANI, MERCEDES</t>
  </si>
  <si>
    <t>SOTO PEREZ, JUANA</t>
  </si>
  <si>
    <t>GOMEZ PUMA, SANTOS JULIAN</t>
  </si>
  <si>
    <t>LLACTAHUAMANI CCOSCCO, TERESA</t>
  </si>
  <si>
    <t>GOMEZ BENITO, ELIZABETH</t>
  </si>
  <si>
    <t>SOLANO RABELO, GILVER</t>
  </si>
  <si>
    <t>HUAMANGA PANIURA, EFRAIN</t>
  </si>
  <si>
    <t>AVILES LLACTAHUAMANI, JUAN</t>
  </si>
  <si>
    <t>HUAMANI AYQUIPA, SEGUNDINA CIRILA</t>
  </si>
  <si>
    <t>CHIPANI SULLO, BRAULIO</t>
  </si>
  <si>
    <t>HUARHUA PANCHE, TIMOTEO PERCY</t>
  </si>
  <si>
    <t>CHACO SOLANO, VICTOR</t>
  </si>
  <si>
    <t>CLEMENTE HUAMANGA, RAFAEL</t>
  </si>
  <si>
    <t>LAYME SOLANO, ANTONIA</t>
  </si>
  <si>
    <t>CHIPANI CHIPANI, MAURICIO</t>
  </si>
  <si>
    <t>CHIPANE GOMEZ, SABINA</t>
  </si>
  <si>
    <t>CHAHUAYO GUSMAN, MARIBEL</t>
  </si>
  <si>
    <t>CCOSCCO PANCHE, CANDELARIA</t>
  </si>
  <si>
    <t>HUANACO PANIURA, DIONICIO</t>
  </si>
  <si>
    <t>SOLANO TAYPE, PAULINA NATIVIDAD</t>
  </si>
  <si>
    <t>SULLO TOTOCAYO, CAROLINA</t>
  </si>
  <si>
    <t>SOLANO GOMEZ, LEONIDAS</t>
  </si>
  <si>
    <t>HUANACO PANIURA, DORIS</t>
  </si>
  <si>
    <t>ANDRADE CRUZ, DINA JASINTINA</t>
  </si>
  <si>
    <t>SOLANO CCOSCCO, LUCILA</t>
  </si>
  <si>
    <t>NUÑES PUMA, DIGNA</t>
  </si>
  <si>
    <t>TAYPE SEÑO, GRIMANESA</t>
  </si>
  <si>
    <t>SOLANO CCOSCCO, BACILIO GREGORIO</t>
  </si>
  <si>
    <t>BENITO SEÑO, YONY</t>
  </si>
  <si>
    <t>CHIPANE CRUZ, VALENTIN</t>
  </si>
  <si>
    <t>SOLANO HUAMANGA, AVELINA</t>
  </si>
  <si>
    <t>HUAMANI LLICAHUA, SANTOSA</t>
  </si>
  <si>
    <t>HUACHACA PANIORA, MARCELO</t>
  </si>
  <si>
    <t>HUACHACA ANCALLE, DARMINA</t>
  </si>
  <si>
    <t>ANCCALLE CONDORI, MODESTO</t>
  </si>
  <si>
    <t>GOMEZ CUMBE, FELICITAS CLEMECIA</t>
  </si>
  <si>
    <t>HUAMANGA CCOSCCO, ERNESTO IGNACIO</t>
  </si>
  <si>
    <t>PANIURA BENITO, JUAN</t>
  </si>
  <si>
    <t>CHIPANI SUELDO, TORIBIA</t>
  </si>
  <si>
    <t>HUAMANGA BENITO, HERMENEGILDO</t>
  </si>
  <si>
    <t>RIMACHI BENITO, JULIANA</t>
  </si>
  <si>
    <t>CHIPANE REMACHE, FRINE</t>
  </si>
  <si>
    <t>TOMAYLLA PUMACAYO, EPIFANEO</t>
  </si>
  <si>
    <t>VILCABAMBA</t>
  </si>
  <si>
    <t>AYERVE MANUEL, MANUEL</t>
  </si>
  <si>
    <t>PALOMINO OCHOA, ALICIA</t>
  </si>
  <si>
    <t>DE VARGAS FRANCISCA, AYERVE</t>
  </si>
  <si>
    <t>TAPIA VILLEGAS, LUZ MERY</t>
  </si>
  <si>
    <t>SANCHEZ QUISPE, LILIANA</t>
  </si>
  <si>
    <t>VARGAS ROMAN, ENMA</t>
  </si>
  <si>
    <t>IZQUIERDO MOLINA, ANTONIA</t>
  </si>
  <si>
    <t>QUISPE BARRIOS, BERTHA</t>
  </si>
  <si>
    <t>VARGAS LOAYZA, AUGUSTO</t>
  </si>
  <si>
    <t>GOMEZ HUAMAN, GABRIELA</t>
  </si>
  <si>
    <t>CERDA PALOMINO, YOVANA</t>
  </si>
  <si>
    <t>ROJAS VARGAS, BOSCO</t>
  </si>
  <si>
    <t>PORTILLA PEREZ, CLEOFE</t>
  </si>
  <si>
    <t>HUAMANI CCONISLLA, LEANDRA</t>
  </si>
  <si>
    <t>GONZALES SEGOVIA, VICTORIA</t>
  </si>
  <si>
    <t>ORTIZ CURI, CARMEN</t>
  </si>
  <si>
    <t>CRUZ SOTO, ISABEL MARIA</t>
  </si>
  <si>
    <t>PEREZ TRUJILLO, FLORA</t>
  </si>
  <si>
    <t>MIRANDA TRUJILLO, NESTOR</t>
  </si>
  <si>
    <t>DELGADO ARCEGA, ALFONSO</t>
  </si>
  <si>
    <t>SALGADO TRUJILLO, LEONIDAS</t>
  </si>
  <si>
    <t>CARBAJAL CRUZ, ALICIA</t>
  </si>
  <si>
    <t>CONDORI HUILLCA, FELICIANO</t>
  </si>
  <si>
    <t>CRUZ CARBAJAL, MARIELA</t>
  </si>
  <si>
    <t>CONTRERAS MARLENY, FERREL</t>
  </si>
  <si>
    <t>CACERES JUAREZ, ALEXANDER</t>
  </si>
  <si>
    <t>BARRIOS FERREL, NILVA NERY</t>
  </si>
  <si>
    <t>DELGADO MEJIA, VICENTE HERMOGENES</t>
  </si>
  <si>
    <t>SALGADO VARGAS, LUNIA</t>
  </si>
  <si>
    <t>GOMEZ QUISPE, MARTINA</t>
  </si>
  <si>
    <t>BARRIENTOS ESQUIVEL, LUCILA</t>
  </si>
  <si>
    <t>PALOMINO GUZMAN, EDELMIRA</t>
  </si>
  <si>
    <t>PALOMINO CONTRERAS, MODESTA</t>
  </si>
  <si>
    <t>ALEJANDRO CONDORI, PEPE JAVIER</t>
  </si>
  <si>
    <t>ESCALANTE DE HURTADO, CELIA</t>
  </si>
  <si>
    <t>RAFAELE CHIPANA, CIRILA</t>
  </si>
  <si>
    <t>TRUJILLO DE RAFAELE, NAZARIA</t>
  </si>
  <si>
    <t>TORRES CHIPANA, ALCIDA</t>
  </si>
  <si>
    <t>CONTRERAS CHIPANA, EFRAIN</t>
  </si>
  <si>
    <t>PANIAGUA TRUJILLO, DINA</t>
  </si>
  <si>
    <t>VARGAS MARTINEZ, PALEMON</t>
  </si>
  <si>
    <t>TRUJILLO TRUJILLANO VDA DE MOREANO, BENEDICTA</t>
  </si>
  <si>
    <t>MOREANO MEJIA, ERNESTO</t>
  </si>
  <si>
    <t>OBLITAS BARRIENTOS, IRENE</t>
  </si>
  <si>
    <t>PEREZ SANCHEZ, HIPOLITO</t>
  </si>
  <si>
    <t>TRUJILLO MARTINEZ, ROSARIO</t>
  </si>
  <si>
    <t>SANCHEZ DE ROMAN, LUZMILA</t>
  </si>
  <si>
    <t>MARTINEZ DE TRUJILLO, AGUSTINA</t>
  </si>
  <si>
    <t>VERA HERRERA, VALENTINA</t>
  </si>
  <si>
    <t>ROMAN DE MARTINEZ, JUANA</t>
  </si>
  <si>
    <t>TRUJILLO MARTINEZ, AQUILINA</t>
  </si>
  <si>
    <t>VARA TRUJILLO, MOISES</t>
  </si>
  <si>
    <t>ROMAN MEJIA, FLAVIO</t>
  </si>
  <si>
    <t>ROMAN CUELLAR, CONCEPCION</t>
  </si>
  <si>
    <t>HURTADO PALOMINO, ZOILO</t>
  </si>
  <si>
    <t>TRUJILLO MEJIA, DOLORES</t>
  </si>
  <si>
    <t>FERREL TRUJILLO, JUANA</t>
  </si>
  <si>
    <t>MIRANDA TORRES, NATALIA</t>
  </si>
  <si>
    <t>CARBAJAL CONTRERAS, NICOLAS</t>
  </si>
  <si>
    <t>VARGAS ZEA, GENARA</t>
  </si>
  <si>
    <t>ROMERO MIRANDA, JANETT</t>
  </si>
  <si>
    <t>PEREZ SALGADO, BENEDICTA</t>
  </si>
  <si>
    <t>PANIAGUA LIMA, LUISA</t>
  </si>
  <si>
    <t>CHIPANA ROMAN, EUGENIO</t>
  </si>
  <si>
    <t>TORRES CHIPANA, SERGIO</t>
  </si>
  <si>
    <t>TORRES CARBAJAL, SIMON</t>
  </si>
  <si>
    <t>TORRES TRUJILLO, VIRGINIA</t>
  </si>
  <si>
    <t>CONTRERAS TRUJILLO, HIPOLITO</t>
  </si>
  <si>
    <t>BEDIA AYALA, WALTER FELICIANO</t>
  </si>
  <si>
    <t>VILLARROEL ENCALADA, LUZMELODY</t>
  </si>
  <si>
    <t>TRUJILLO GARRAFA, DILCE</t>
  </si>
  <si>
    <t>HUAMANI GONZALES, NORA</t>
  </si>
  <si>
    <t>HUAMAN TRUJILLO, NANCY</t>
  </si>
  <si>
    <t>YAGUNA GONZALES, ISAIAS</t>
  </si>
  <si>
    <t>HERREROS HUAMANI, ENRRIQUETA</t>
  </si>
  <si>
    <t>CHIRINOS OROSCO, MARTHA</t>
  </si>
  <si>
    <t>CERDA GUZMAN, MERCEDES</t>
  </si>
  <si>
    <t>MOINA RAFAEL, MARIBEL</t>
  </si>
  <si>
    <t>SANTA ROSA</t>
  </si>
  <si>
    <t>VALVERDE CANSINOS, FELICITAS</t>
  </si>
  <si>
    <t>CURASCO</t>
  </si>
  <si>
    <t>QUISPE BARRIOS, ANTONIA DOLORES</t>
  </si>
  <si>
    <t>OCHUPE CRUZ, LAURO</t>
  </si>
  <si>
    <t>CAMARGO CCOYORI, VERONICA</t>
  </si>
  <si>
    <t>GONZALES MARROQUIN, CUARESMO</t>
  </si>
  <si>
    <t>HUILLCA CONTRERAS DE VELILLE, DOROTEA</t>
  </si>
  <si>
    <t>GOMEZ HUAMANI, AMELIA</t>
  </si>
  <si>
    <t>CAMARGO GONZALES, PABLO DE LA CRUZ</t>
  </si>
  <si>
    <t>SUBELETE MAYHUIRE, BRAULIO</t>
  </si>
  <si>
    <t>GONZALES BARRIOS, ARTEMIO</t>
  </si>
  <si>
    <t>GONZALES SUBELETE, ORESTES</t>
  </si>
  <si>
    <t>BARRIOS BARRIOS, SEBASTIAN</t>
  </si>
  <si>
    <t>PABLO CHALCO, EVARISTO</t>
  </si>
  <si>
    <t>VARGAS REYME, HILDEBRANDO</t>
  </si>
  <si>
    <t>HUAMANI GONZALES, RODY</t>
  </si>
  <si>
    <t>SUBELETE YAGUNO, BELEN</t>
  </si>
  <si>
    <t>VARGAS CACERES, LEONARDA</t>
  </si>
  <si>
    <t>GUSMAN  ANCCO, SALOME</t>
  </si>
  <si>
    <t>BRAVO MARROQUIN, ANACLETA</t>
  </si>
  <si>
    <t>PALOMINO COSTILLA, MARGARITA</t>
  </si>
  <si>
    <t>CRUZ SANCHEZ, NATIVIDAD</t>
  </si>
  <si>
    <t>CHALCO OCHUPE, EULALIA</t>
  </si>
  <si>
    <t>SUBELETE YAGUNO, VABILONIA</t>
  </si>
  <si>
    <t>PALOMINO CHALLCO, ELEUTERIA</t>
  </si>
  <si>
    <t>COSTILLA VARGAS, MARTHA</t>
  </si>
  <si>
    <t>OCHUPE CURI, MARCELINO</t>
  </si>
  <si>
    <t>PANIURA ESCAJADILLO, MARGARITA</t>
  </si>
  <si>
    <t>FERREL CABRERA, EDWART</t>
  </si>
  <si>
    <t>CHALCO HUAMANI, FELICITAS</t>
  </si>
  <si>
    <t>HUAMANI CHALCO, HAYDEE</t>
  </si>
  <si>
    <t>CHALCO BARRIOS, BASILIA</t>
  </si>
  <si>
    <t>BRAVO MARROQUIN, SANTIAGO FELIPE</t>
  </si>
  <si>
    <t>CAMARGO DE PEÑA, EMPERATRIZ</t>
  </si>
  <si>
    <t>GONZALES BARRIOS, CARLOS</t>
  </si>
  <si>
    <t>GONZALES MARROQUIN, GUILLERMINO</t>
  </si>
  <si>
    <t>AZURIN ELGUERA, FELIPE</t>
  </si>
  <si>
    <t>MOYNA VELILLE, IVAN</t>
  </si>
  <si>
    <t>ORTIZ CURI, JUAN</t>
  </si>
  <si>
    <t>BARRIOS HUALLPA, VIRGINIA</t>
  </si>
  <si>
    <t>VARGAS RAYME, AGRIPINA</t>
  </si>
  <si>
    <t>OCHUPE QUISPE, DIONICIA</t>
  </si>
  <si>
    <t>BARRIOS MENDOZA, JOSE SANTOS</t>
  </si>
  <si>
    <t>GONZALES VILELLI, LIVIA</t>
  </si>
  <si>
    <t>MOYNA MIRANDA, DEDICACION</t>
  </si>
  <si>
    <t>VARGAS MORIANO, ABDON</t>
  </si>
  <si>
    <t>BRAVO PALOMINO, EDISON</t>
  </si>
  <si>
    <t>GONZALES PALOMINO, FELIX</t>
  </si>
  <si>
    <t>HUAMANI VERA, WILMAN</t>
  </si>
  <si>
    <t>CCOYORE COSTILLA, RICARDINA</t>
  </si>
  <si>
    <t>MOLINA BARRIOS, JULIA</t>
  </si>
  <si>
    <t>CHIPANA CCASANI, ERMITANIA</t>
  </si>
  <si>
    <t>AYERVE LLAMOCCA, LETICIA</t>
  </si>
  <si>
    <t>PROGRESO</t>
  </si>
  <si>
    <t>PEÑA PINARES, ILMOR</t>
  </si>
  <si>
    <t>PALOMINO MONTES, TOMASA</t>
  </si>
  <si>
    <t>MUÑOZ ANTITUPA, SONIA</t>
  </si>
  <si>
    <t>YAGUNO MARROQUIN, FILEMON</t>
  </si>
  <si>
    <t>CHICLLA PABLO, LUORDES</t>
  </si>
  <si>
    <t>GONZALES DEPEREZ, LAUREANA</t>
  </si>
  <si>
    <t>CATALAN SUELDO, LAURA</t>
  </si>
  <si>
    <t>MONTESINOS CCOYURI, OBDULIA</t>
  </si>
  <si>
    <t>PINARES GALLEGOS, ALEJANDRO</t>
  </si>
  <si>
    <t>ALATA ALMIRON, JULIAN</t>
  </si>
  <si>
    <t>CHIPANA DEQUISPE, MARGARITA</t>
  </si>
  <si>
    <t>AYSA ANDRADE, EPIFANIA</t>
  </si>
  <si>
    <t>GOMEZ CHUMPISUCA, VALENTIN</t>
  </si>
  <si>
    <t>GALLOSO CCOYURE, GREGORIA</t>
  </si>
  <si>
    <t>HUILLCA ARAMBURU, SONIA</t>
  </si>
  <si>
    <t>GUTIERREZ AGUIRRE, IVAN</t>
  </si>
  <si>
    <t>QUISPE ARCE, GIL ANTONIO</t>
  </si>
  <si>
    <t>PINARES GALLEGOS, ADRIANA</t>
  </si>
  <si>
    <t>CAHUANA PAIVA, EFRAIN</t>
  </si>
  <si>
    <t>SANCHEZ AUCCAYLLA, FELIBERTO</t>
  </si>
  <si>
    <t>VARGAS OCHOA, CATALINA</t>
  </si>
  <si>
    <t>GUTIERREZ VARGAS, SIXTO</t>
  </si>
  <si>
    <t>PORTUGAL GUTIERREZ, HERIBERTO WASHINTON</t>
  </si>
  <si>
    <t>CAVERO VARGAS, JHONNY</t>
  </si>
  <si>
    <t>HUAÑAHUE SAGUERON, FELICIANO</t>
  </si>
  <si>
    <t>GAMARRA</t>
  </si>
  <si>
    <t>CALLE PEÑA, HIPOLITO</t>
  </si>
  <si>
    <t>PEÑA PINRES, MARTHA</t>
  </si>
  <si>
    <t>ALMIRON CJURO, BRIGIDA</t>
  </si>
  <si>
    <t>HUAMANÑAHUE FLORES, FLORA</t>
  </si>
  <si>
    <t>CALLE SALAS, JULIO</t>
  </si>
  <si>
    <t>PINARES ATANACIO, YRENE</t>
  </si>
  <si>
    <t>CONTRERAS QUISPE, JUANA</t>
  </si>
  <si>
    <t>NIETO CCOYURI, PAULINA</t>
  </si>
  <si>
    <t>OCHOA THIA, AVELINO</t>
  </si>
  <si>
    <t>HUAMAN OCHOA, SERGIO</t>
  </si>
  <si>
    <t>QUISPE CANDIA, ADOLFO</t>
  </si>
  <si>
    <t>JAQUIMA OCHOA, VICENTE</t>
  </si>
  <si>
    <t>PEREIRA GOMEZ, JULIA</t>
  </si>
  <si>
    <t>HUCHARO GALLEGOS, FAUSTINA</t>
  </si>
  <si>
    <t>PALOMINO RAMIREZ, VENTURA</t>
  </si>
  <si>
    <t>GALLEGOS TAYPE, MARCELINO</t>
  </si>
  <si>
    <t>SURI CONDORI, NICASIA SATURNINA</t>
  </si>
  <si>
    <t>PALOMINO SUELDO, VALENTIN</t>
  </si>
  <si>
    <t>PALOMINO SALAS, MARTHA</t>
  </si>
  <si>
    <t>PALOMINO SALGUERON, BEATRIZ</t>
  </si>
  <si>
    <t>AGUIRRE RAMIREZ, ROSA</t>
  </si>
  <si>
    <t>ANCCO CATALAN, EVARISTA</t>
  </si>
  <si>
    <t>PALOMINO CATALAN, PAULINO</t>
  </si>
  <si>
    <t>RAMIREZ SALGUERON, AQUILINO</t>
  </si>
  <si>
    <t>RAMIREZ PAZ, SERAPIO MAXIMO</t>
  </si>
  <si>
    <t>PALOMINO PALOMINO, ENRIQUE</t>
  </si>
  <si>
    <t>CONTRERAS SUELDO, EULALIA</t>
  </si>
  <si>
    <t>PALOMINO GUZMAN, LINO</t>
  </si>
  <si>
    <t>SURI ANCCO, LEONARDA</t>
  </si>
  <si>
    <t>GARCIA SUELDO, MAXIMO</t>
  </si>
  <si>
    <t>TAIPE ANCCO, NARCISA</t>
  </si>
  <si>
    <t>PAZ SUELDO, GERARDA</t>
  </si>
  <si>
    <t>CERDA GUZMAN, CIRILA</t>
  </si>
  <si>
    <t>PALOMINO SUELDO, PASTOR</t>
  </si>
  <si>
    <t>MOSQUEIRA SUELDO, TEODORA</t>
  </si>
  <si>
    <t>HUCHARO HUAMAN, ADELA</t>
  </si>
  <si>
    <t>SALAS CORVACHO, JUAN BOSCO</t>
  </si>
  <si>
    <t>PALOMINO GARCIA, RINA</t>
  </si>
  <si>
    <t>ANCCO GAYOSO, ANGEL</t>
  </si>
  <si>
    <t>HUCHARO HUAMAN, GUILLERMO</t>
  </si>
  <si>
    <t>SANCHEZ TUYRO, AUGUSTO</t>
  </si>
  <si>
    <t>VARGAS GOMEZ, GERMAN</t>
  </si>
  <si>
    <t>PINARES SIHUIN, CATALINA</t>
  </si>
  <si>
    <t>SANCHEZ CHAPARRO, ALICIA</t>
  </si>
  <si>
    <t>QUIQUE PABLO, HIPOLITO</t>
  </si>
  <si>
    <t>CHICLLA TORRES, NORA</t>
  </si>
  <si>
    <t>PABLO VEGA, WILFREDO</t>
  </si>
  <si>
    <t>ESCUDERO PABLO, RUPERTO</t>
  </si>
  <si>
    <t>ALATA CCOYORI, MANUELA</t>
  </si>
  <si>
    <t>MOINA SALAZAR, HAYDEE</t>
  </si>
  <si>
    <t>ALATA ALMIRON, SATURNINO</t>
  </si>
  <si>
    <t>SURI ARONI, SEGUNDINA</t>
  </si>
  <si>
    <t>RODRIGUEZ QUISPETIRA, AQUILES</t>
  </si>
  <si>
    <t>HUAMANI CAMERO, EDILBERTO</t>
  </si>
  <si>
    <t>JARA ARONI, CIRIACO</t>
  </si>
  <si>
    <t>PALOMINO CONTRERAS, PAULINA</t>
  </si>
  <si>
    <t>SURI QUINTANILLA, TIMOTEO</t>
  </si>
  <si>
    <t>ANCCO SALGUERON, FIDELIA</t>
  </si>
  <si>
    <t>GUTIERREZ HUAMANI, MIGUEL</t>
  </si>
  <si>
    <t>GUZMAN MENDOZA, JUANA</t>
  </si>
  <si>
    <t>GALLEGOS CERDA, LUISA</t>
  </si>
  <si>
    <t>SUELDO CONTRERAS, VICTORIA</t>
  </si>
  <si>
    <t>HUAMANI PANIAGUA, CICILIO</t>
  </si>
  <si>
    <t>BARRIOS DE CONTRERAS, YOLANDA</t>
  </si>
  <si>
    <t>TAYPE SALAS, VICTORIA</t>
  </si>
  <si>
    <t>CONTRERAS CCONISLLA, FELICITAS</t>
  </si>
  <si>
    <t>SURI CERDA, FRANCISCO</t>
  </si>
  <si>
    <t>CCONISLLA ARONI, WASHINGTON</t>
  </si>
  <si>
    <t>SURI QUINTANILLA, HIPOLITO</t>
  </si>
  <si>
    <t>CONTRERAS PALOMINO, ISABEL</t>
  </si>
  <si>
    <t>SURE CRUZ, PURIFICACION</t>
  </si>
  <si>
    <t>CCONISLLA ANCCO, JULIA</t>
  </si>
  <si>
    <t>SURI CONDORI, ROSA</t>
  </si>
  <si>
    <t>CRUZ GUZMAN, YSABEL</t>
  </si>
  <si>
    <t>JARA ARONI, DOLORES</t>
  </si>
  <si>
    <t>PANIAGUA BUSTAMANTE, ANACLETO</t>
  </si>
  <si>
    <t>CONTRERAS CABALLERO, ROBERTO</t>
  </si>
  <si>
    <t>SURE CONTRERAS, LEANDRO</t>
  </si>
  <si>
    <t>TORRES CERDA, FELIX FLAVIO</t>
  </si>
  <si>
    <t>HUAMANI PANIAGUA, SIXTO</t>
  </si>
  <si>
    <t>CRUZ VARGAS, BACILIO</t>
  </si>
  <si>
    <t>MENDOZA JARA, JULIO</t>
  </si>
  <si>
    <t>GOMEZ CONTRERAS, ODILON</t>
  </si>
  <si>
    <t>GONZALEZ SANCHEZ, LUIS</t>
  </si>
  <si>
    <t>CONTRERAS BARRIOS, CIRILA</t>
  </si>
  <si>
    <t>TAYPE SALAS, VALERIANA</t>
  </si>
  <si>
    <t>BAUTISTA ARONE, LUZ MARINA</t>
  </si>
  <si>
    <t>ARIAS TAPIA, UBALDINO</t>
  </si>
  <si>
    <t>TAPIA NAVEROS, TEODOSIA</t>
  </si>
  <si>
    <t>CERDA CONTRERAS, FLORENCIA</t>
  </si>
  <si>
    <t>SAYA DE GOMEZ, DORA</t>
  </si>
  <si>
    <t>BAUTISTA QUISPE, JUVENAL</t>
  </si>
  <si>
    <t>HUAMANI CCONISLLA, ERNESTINA</t>
  </si>
  <si>
    <t>GUZMAN ANCCO, ADRIALA</t>
  </si>
  <si>
    <t>ANCCO PALOMINO, AGRIPINA</t>
  </si>
  <si>
    <t>ANCCO DE CONDORI, JULIA ALEJANDRINA</t>
  </si>
  <si>
    <t>PALOMINO ANCCO, JUAN</t>
  </si>
  <si>
    <t>SANCHEZ CONDORI, SABINA</t>
  </si>
  <si>
    <t>GOMEZ HUARANCA, MARCELINA</t>
  </si>
  <si>
    <t>CERDA CONTRERAS, PERCY</t>
  </si>
  <si>
    <t>SUAREZ SANCHEZ, BRULIO</t>
  </si>
  <si>
    <t>SANCHEZ ANCCO, GERONIMO</t>
  </si>
  <si>
    <t>CONDORI ANCCO, PASCUALA</t>
  </si>
  <si>
    <t>CONTRERAS PALOMINO, HIGIDIA</t>
  </si>
  <si>
    <t>CHAPIMARCA</t>
  </si>
  <si>
    <t>CACERES SILVA, JOSE LUIS</t>
  </si>
  <si>
    <t>CAYTUIRO SILVA, PAULINA</t>
  </si>
  <si>
    <t>MOREANO CUELLAR, CARMEN</t>
  </si>
  <si>
    <t>GUZMAN PAULINA, ALVARADO</t>
  </si>
  <si>
    <t>CALLONZA SANTOS, LUCHA</t>
  </si>
  <si>
    <t>ACRA YAGUNO, FABIANA</t>
  </si>
  <si>
    <t>CRUZ BAUTISTA, JULIA</t>
  </si>
  <si>
    <t>VELASQUEZ Q, VICTORIA</t>
  </si>
  <si>
    <t>HILARES ALVARES, ROSARIO</t>
  </si>
  <si>
    <t>HUANACO MARURI, CLAUDIA</t>
  </si>
  <si>
    <t>SANCHEZ SEQUEIROS, VIRGINIA</t>
  </si>
  <si>
    <t>SEQUEIROS MARURI, SABINO</t>
  </si>
  <si>
    <t>SEQUEIROS CASTRO, ANGELICA</t>
  </si>
  <si>
    <t>UGARTE DE SEQUEIROS, ASUNTA</t>
  </si>
  <si>
    <t>QUINTANA ALVARES, MARIO</t>
  </si>
  <si>
    <t>HUAMANI MATEOS, PAULINO</t>
  </si>
  <si>
    <t>BAZAN HILARES, SERAPIO</t>
  </si>
  <si>
    <t>QUINTANA MEDIANO, VISITACION</t>
  </si>
  <si>
    <t>BAZAN HILARES, ERASMO</t>
  </si>
  <si>
    <t>SEQUEIROS QUINTANA, VELENTIN</t>
  </si>
  <si>
    <t>BAZAN ASCONA, RAYMUNDO</t>
  </si>
  <si>
    <t>HUANACO CASTILLO, YOVANA</t>
  </si>
  <si>
    <t>HUAMANI MATEOS, DENNYS</t>
  </si>
  <si>
    <t>PINEDA CHIPA, EMILIO</t>
  </si>
  <si>
    <t>QUISPE MUÑIZ, FORTUNATA</t>
  </si>
  <si>
    <t>CATALAN ALVAREZ, FERMIN</t>
  </si>
  <si>
    <t>ARCE HILARES, FRANCISCO</t>
  </si>
  <si>
    <t>HILARES CATALAN, GUADALUPE</t>
  </si>
  <si>
    <t>ARCE DE HURTADO, MARGARITA</t>
  </si>
  <si>
    <t>LOPINTA SANCHEZ DE HURTADO, TEODORA</t>
  </si>
  <si>
    <t>SEQUEIROS QUINTANA, AVELINA</t>
  </si>
  <si>
    <t>CERVANTES VDA. DE MENDOZA, ALEJANDRINA</t>
  </si>
  <si>
    <t>OROS LETONA, AGUSTA</t>
  </si>
  <si>
    <t>TORRES GUTIERREZ, CARMEN</t>
  </si>
  <si>
    <t>VALDERRAMA CONDORI DE VILLASANTE, ALICIA</t>
  </si>
  <si>
    <t>TORRES BAZAN, DEMETRIO</t>
  </si>
  <si>
    <t>SALAS MEJIA, EULALIA</t>
  </si>
  <si>
    <t>LOAYZA SALCEDO, VICTORIA</t>
  </si>
  <si>
    <t>BOZA DE BAZAN, SATURNINA</t>
  </si>
  <si>
    <t>VILLASANTE DE PEÑA, BERTHA</t>
  </si>
  <si>
    <t>MOYA RAMOS, EUSTAQUIO</t>
  </si>
  <si>
    <t>SEQUEIROS DE PORRAS, FRANCISCA</t>
  </si>
  <si>
    <t>SALINAS HILARES, AQUILINO</t>
  </si>
  <si>
    <t>OROS DE SEQUEIROS, SEBASTIANA</t>
  </si>
  <si>
    <t>PILLO MENDOZA, SATURNINO</t>
  </si>
  <si>
    <t>ESCALANTE MUÑOZ, MARIA MAGDALENA</t>
  </si>
  <si>
    <t>MUÑOZ QUINTNA, AGUSTINA</t>
  </si>
  <si>
    <t>LEON PILLO, JUAN DE LA CRUZ</t>
  </si>
  <si>
    <t>SOTO HINOJOSA, AURELIO</t>
  </si>
  <si>
    <t>CABRERA GONZALES, TORIBIO</t>
  </si>
  <si>
    <t>HILARES HUANACO, MARTIN</t>
  </si>
  <si>
    <t>VARGAS AGUILAR, MARIA ESPERANZA</t>
  </si>
  <si>
    <t>MOSQUEIRA BEDIA, VICTORIA</t>
  </si>
  <si>
    <t>MOSQUEIRA BEDIA, DOLORES</t>
  </si>
  <si>
    <t>MOSQUEIRA BEDIA, MERCEDES</t>
  </si>
  <si>
    <t>FERRO LAYME, LUIS ARTURO</t>
  </si>
  <si>
    <t>ESCALANTE MAYHUIRI, JUAN CARLOS</t>
  </si>
  <si>
    <t>AYERVE POCCORI, ROXANA</t>
  </si>
  <si>
    <t>TEVES CHIRINOS, MARLENY</t>
  </si>
  <si>
    <t>HURTADO GRAMIANO, CELIA</t>
  </si>
  <si>
    <t>VARGAS ROMAN, MARINA</t>
  </si>
  <si>
    <t>HUAMAN QUISPE, SUSANA</t>
  </si>
  <si>
    <t>TEVES QUISPE, AGUSTINA</t>
  </si>
  <si>
    <t>HUAMAN HUAMANHORCCO, CLEOFE</t>
  </si>
  <si>
    <t>AYERVE SANCHEZ, EFRAIN</t>
  </si>
  <si>
    <t>HUAMAN PANIAGUA, SUCY</t>
  </si>
  <si>
    <t>AYERVE SANCHEZ, FELICITAS</t>
  </si>
  <si>
    <t>AYERVE LLAMOCCA, SULMA</t>
  </si>
  <si>
    <t>PANIAGUA AYERVE, DARWIN</t>
  </si>
  <si>
    <t>QUISPE ENRRIQUEZ, TADEA</t>
  </si>
  <si>
    <t>LAYME QUISPE, LIDIA</t>
  </si>
  <si>
    <t>DE LA VEGA ALVAREZ, IRMA HAYDEE</t>
  </si>
  <si>
    <t>BARRIOS PEÑA, OLGA</t>
  </si>
  <si>
    <t>HUALLPA PALOMINO, CECILIA</t>
  </si>
  <si>
    <t>CASTRO BARRIOS, ADELA</t>
  </si>
  <si>
    <t>LAYME HUALLPA, CIRILO</t>
  </si>
  <si>
    <t>QUISPE MAMANI, TEODORA</t>
  </si>
  <si>
    <t>PALOMINO CHOQUE, JUAN</t>
  </si>
  <si>
    <t>QUIRQUIHUA¥A ZUÑIGA, MAURICIA</t>
  </si>
  <si>
    <t>MUÑOZ HILARES, IRENE</t>
  </si>
  <si>
    <t>CHOQUE QUISPE, CONCEPCION</t>
  </si>
  <si>
    <t>PANIAGUA VARGAS, FELICITAS</t>
  </si>
  <si>
    <t>LAYME PEÑA, MATILDE</t>
  </si>
  <si>
    <t>LAYME ARACCATA, JOSEFINA</t>
  </si>
  <si>
    <t>MAYHUIRI CASTILLO, MODESTA</t>
  </si>
  <si>
    <t>CRUZADO PEÑA, CLARA</t>
  </si>
  <si>
    <t>INCA ARACCATA, GREGORIA</t>
  </si>
  <si>
    <t>PADILLA CHAHUAYLLA, JUAN BAUTISTA</t>
  </si>
  <si>
    <t>LAYME HUALLPA, TEOFILA</t>
  </si>
  <si>
    <t>HERRERA PANIAGUA, JOSE</t>
  </si>
  <si>
    <t>HERRERA HUAMAN, ROSA</t>
  </si>
  <si>
    <t>ACHULLI CASTRO, GREGORIO</t>
  </si>
  <si>
    <t>PEÑA LAYME, ISABEL</t>
  </si>
  <si>
    <t>ACHULLI LAYME, NATIVIDO</t>
  </si>
  <si>
    <t>SANTISTEBAN TEVES, ALBERTA</t>
  </si>
  <si>
    <t>BERMUDEZ GONZALES, MARCELINA</t>
  </si>
  <si>
    <t>SANTISTEBAN MOLINA, DALMIRO</t>
  </si>
  <si>
    <t>TORRES MERCADO, YOLANDA EVA</t>
  </si>
  <si>
    <t>CHIRINOS MOLINA DE AVENDAÑO, LEONARDA</t>
  </si>
  <si>
    <t>BARRIOS BRAVO, TADEA</t>
  </si>
  <si>
    <t>PALOMINO MOLINA, DAVID</t>
  </si>
  <si>
    <t>QUISPE FLORES, URIEL</t>
  </si>
  <si>
    <t>SANTISTEBAN CAYTUIRO, MARISOL</t>
  </si>
  <si>
    <t>LLICAHUA HUAMANI, DINA</t>
  </si>
  <si>
    <t>GONZALES GUELLIN, EDUARDO</t>
  </si>
  <si>
    <t>MOLINA BACA, ERSILIA</t>
  </si>
  <si>
    <t>SANTIESTEBAN BACA, GREGORIA</t>
  </si>
  <si>
    <t>MOLINA PALOMINO, MARGARITA</t>
  </si>
  <si>
    <t>HUAMANHORCCO BARRIOS, CLAUDIA</t>
  </si>
  <si>
    <t>ARONE CHIRINOS, LEANDRA</t>
  </si>
  <si>
    <t>CONTRERAS HUILLCA, MARIA</t>
  </si>
  <si>
    <t>ARANA HINOJOSA, VICTOR</t>
  </si>
  <si>
    <t>AROSTE DE CORTEZ, ESTELA</t>
  </si>
  <si>
    <t>SERRANO ALCCA, VICTORIA</t>
  </si>
  <si>
    <t>CIRCA</t>
  </si>
  <si>
    <t>GARCIA DE QUISPE, JULIA</t>
  </si>
  <si>
    <t>HUAMAN GOMEZ, GRIMALDO</t>
  </si>
  <si>
    <t>HUAMAN ALCCA, GENOVEVA</t>
  </si>
  <si>
    <t>ZANABRIA CCORAHUA, RUTH ANANY</t>
  </si>
  <si>
    <t>LAMBRAMA</t>
  </si>
  <si>
    <t>SEQUEIROS TERAN, INES HILDA</t>
  </si>
  <si>
    <t>CCAHUANA POCCO, SIMEONA</t>
  </si>
  <si>
    <t>QUISPE HUILLCA, JUANA</t>
  </si>
  <si>
    <t>PACHECO DE CORAZAO, CLAUDIA</t>
  </si>
  <si>
    <t>HUAMANHORCCO HUAMANI, DULCE MARIA</t>
  </si>
  <si>
    <t>CHOQUE GAMARRA, TIMOTEA</t>
  </si>
  <si>
    <t>CHIPANA PUMAPILLO DE SANCHEZ, JUANA LUISA</t>
  </si>
  <si>
    <t>SANCHEZ DE HUALLPA, TIMOTEA EUFEMIA</t>
  </si>
  <si>
    <t>PUMAPILLO CHIPANA, JUANA</t>
  </si>
  <si>
    <t>LUNA DE GOMEZ, JESUS LAURA</t>
  </si>
  <si>
    <t>PALOMINO GONZALES, ZENOVIA</t>
  </si>
  <si>
    <t>ESPINOZA ROJAS, APOLENARIA VIRGINIA</t>
  </si>
  <si>
    <t>ARONE ARTEAGA, ALEJANDRINA</t>
  </si>
  <si>
    <t>GAMARRA PUMAPILLO, JUANA</t>
  </si>
  <si>
    <t>HUALLPA LUNA, JUAN CARLOS</t>
  </si>
  <si>
    <t>HUALLPA LUNA, ROSA ANGELA</t>
  </si>
  <si>
    <t>PUMAPILLO FLORES, BERTHA</t>
  </si>
  <si>
    <t>LUNA HUALLPA, CARLOS TOMAS</t>
  </si>
  <si>
    <t>HUALLPA TOROMANYA, NICANOR</t>
  </si>
  <si>
    <t>MINA HUALLPA, SEBASTIAN</t>
  </si>
  <si>
    <t>KARI DE HUALLPA, LUISA</t>
  </si>
  <si>
    <t>MAMANI CONDORI, BENITA</t>
  </si>
  <si>
    <t>AMARO CHIPANA, VALENTINA</t>
  </si>
  <si>
    <t>SARMIENTO PUMAPILLO, TIMOTEA</t>
  </si>
  <si>
    <t>PARCCO ORTEGA, TERESA</t>
  </si>
  <si>
    <t>KARI DE GOMEZ, EULOGIA</t>
  </si>
  <si>
    <t>ESPINOZA ALEGRIA, MARIO ANGEL</t>
  </si>
  <si>
    <t>HUALLPA LUNA, ESTEBAN</t>
  </si>
  <si>
    <t>GOMEZ AYALA, SILVIA</t>
  </si>
  <si>
    <t>PARCCO ORTEGA, ZENOBIA</t>
  </si>
  <si>
    <t>HUALLPA FLORES, SIMON WENCESLAO</t>
  </si>
  <si>
    <t>TERAN PANIAGUA, ANSELMA</t>
  </si>
  <si>
    <t>CHIPANA DAMIAN, LOURDES</t>
  </si>
  <si>
    <t>HERMOZA TELLO, LUIS GREGORIO</t>
  </si>
  <si>
    <t>AYMARA CHIPANA, ELIZABETH</t>
  </si>
  <si>
    <t>PARCCO ORTEGA, JOSE</t>
  </si>
  <si>
    <t>PARCCO ORTEGA, ANA</t>
  </si>
  <si>
    <t>CHUIMA AYALA, NATIVIDAD</t>
  </si>
  <si>
    <t>FLORES MINA, SONIA DAMIANA</t>
  </si>
  <si>
    <t>CAYTUIRO SILVA, GENARO</t>
  </si>
  <si>
    <t>BARAUNA CCORAHUA, AYDEE</t>
  </si>
  <si>
    <t>GAMARRA CCASA, IGNACIO</t>
  </si>
  <si>
    <t>FLORES CCANRE, CELIA</t>
  </si>
  <si>
    <t>CCORAHUA MEZA, SEBASTIAN</t>
  </si>
  <si>
    <t>KARI PARCCO, NICOLAZA</t>
  </si>
  <si>
    <t>CRUZ CCAHUANA, RUFINA</t>
  </si>
  <si>
    <t>MOREANO PERALTA, LUIS</t>
  </si>
  <si>
    <t>ROJAS DE CARBAJAL, VICENTINA</t>
  </si>
  <si>
    <t>PALOMINO PERALTA, HIGIDIA LUISA</t>
  </si>
  <si>
    <t>MARTINEZ DE TAIPE, RAFAELA</t>
  </si>
  <si>
    <t>CCAHUANA SARMIENTO, ALEJANDRO</t>
  </si>
  <si>
    <t>DAMIAN CINCE, DIONICIA</t>
  </si>
  <si>
    <t>PANIAGUA TAIPE, JUANA CIPRIANA</t>
  </si>
  <si>
    <t>CHUIMA CCAHUANA, DAVID</t>
  </si>
  <si>
    <t>FERRO MENDOZA, FAUSTINA</t>
  </si>
  <si>
    <t>MEDINA IZQUIERDO, JUAN</t>
  </si>
  <si>
    <t>PEREZ VDA DE MEDINA, ANTONIA</t>
  </si>
  <si>
    <t>LAGUNA ARONI, VICENTE</t>
  </si>
  <si>
    <t>PACCO AYMA, TEODORA</t>
  </si>
  <si>
    <t>NAVIO ARIAS, ARTURO</t>
  </si>
  <si>
    <t>PACCO LOAYZA, SALOMINA</t>
  </si>
  <si>
    <t>BENITES QUISPE, NICOLAS</t>
  </si>
  <si>
    <t>SANCHEZ SALDIVAR, JUANA PAULINA</t>
  </si>
  <si>
    <t>DAMIAN PEREZ, JUAN</t>
  </si>
  <si>
    <t>TAIPE ARONI, HERMENEGILDO</t>
  </si>
  <si>
    <t>TAYPE ARONI, JUSTINA</t>
  </si>
  <si>
    <t>SALDIVAR MEDINA, EULOGIO</t>
  </si>
  <si>
    <t>VALDERRAMA LAGUNA, ISIDORA</t>
  </si>
  <si>
    <t>LAGUNA AYMA, GRACILDA</t>
  </si>
  <si>
    <t>ESTRADA KARI, MARGARITA</t>
  </si>
  <si>
    <t>TAIPE MENDOZA, VICENTE</t>
  </si>
  <si>
    <t>ARONI IZQUIERDO, JULIANA</t>
  </si>
  <si>
    <t>MENACHO QUISPE, YUDITH</t>
  </si>
  <si>
    <t>ROJAS ESTRADA, OCTAVIO</t>
  </si>
  <si>
    <t>ACHAICA VENTURA, SAMUEL</t>
  </si>
  <si>
    <t>KARI LUNA, SATURNINA</t>
  </si>
  <si>
    <t>CCAHUANA CHUMBES, ANDRES SATURNINO</t>
  </si>
  <si>
    <t>CONDORI VALENZUELA, SUSANA</t>
  </si>
  <si>
    <t>VENTURA ROMERO, JHON</t>
  </si>
  <si>
    <t>CHIPANA  VENTURA, VICENTE HERMOGENES</t>
  </si>
  <si>
    <t>PUMAPILLO ROJAS, SABINA</t>
  </si>
  <si>
    <t>SANCHEZ ARONI, VIRGINIA</t>
  </si>
  <si>
    <t>ALVAREZ FUNDIA, ROSARIO</t>
  </si>
  <si>
    <t>CHACOCHE</t>
  </si>
  <si>
    <t>CONTRERAS DIAZ, MARIO EDWARD</t>
  </si>
  <si>
    <t>ROJAS VELASQUE, GUILLERMO</t>
  </si>
  <si>
    <t>DIAZ ROBLES, ALEJANDRO</t>
  </si>
  <si>
    <t>VALENZUELA PALACIOS, FRIDA SOFIA</t>
  </si>
  <si>
    <t>ORTEGA MARCATOMA, JANETH EVY</t>
  </si>
  <si>
    <t>ROJAS VALENTE, SANTIAGO</t>
  </si>
  <si>
    <t>GARAY SALVADOR DE ROBLES, MARGARITA</t>
  </si>
  <si>
    <t>CHOCLLO VALDERRAMA, TIMOTEA</t>
  </si>
  <si>
    <t>MAGALLAN BACA, ELISA</t>
  </si>
  <si>
    <t>BACA CUARESMA, VIRGINIO</t>
  </si>
  <si>
    <t>DAVALOS VARGAS, RAIMUNDA</t>
  </si>
  <si>
    <t>CORTEZ HUAYHUA, MARIA CATINA</t>
  </si>
  <si>
    <t>HUANCA RIPAS, MARIA</t>
  </si>
  <si>
    <t>BACA DE BRAVO, MARCELINA</t>
  </si>
  <si>
    <t>QUISPE DE BACA, ANACLETA</t>
  </si>
  <si>
    <t>CHACON LOZANO, SANTIAGO</t>
  </si>
  <si>
    <t>BACA QUISPE, JESUS</t>
  </si>
  <si>
    <t>DIAZ VELAZQUE, SABINA</t>
  </si>
  <si>
    <t>BACA QUISPE, FRANCISCO LUIS</t>
  </si>
  <si>
    <t>BACA ANDINA, WARTON</t>
  </si>
  <si>
    <t>CORTEZ HUAYHUA, HERMELINDA</t>
  </si>
  <si>
    <t>NUÑEZ CORTEZ, LEONCIO</t>
  </si>
  <si>
    <t>MAGALLAN BACA, OLGA</t>
  </si>
  <si>
    <t>ROBLES RAYA, SEBASTIAN</t>
  </si>
  <si>
    <t>PALOMINO QUISPE, WILFREDO</t>
  </si>
  <si>
    <t>GARCIA MONTES, RAUL</t>
  </si>
  <si>
    <t>HURTADO MEDINA, MARICELA</t>
  </si>
  <si>
    <t>BRAVO LOZANO, MARIA</t>
  </si>
  <si>
    <t>CONTRERAS NUÑEZ, ADRIAN</t>
  </si>
  <si>
    <t>CONTRERAS DIAZ, FLOR DE MARIA</t>
  </si>
  <si>
    <t>ROJAS ROBLES, ELOY</t>
  </si>
  <si>
    <t>HURTADO VELAZQUE, BASILISA YLDAURA</t>
  </si>
  <si>
    <t>ROBLES BRAVO, GLADYS</t>
  </si>
  <si>
    <t>DIAZ DE BRAVO, AMALIA</t>
  </si>
  <si>
    <t>NUÑEZ RAYA, JUSTINA BEATRIZ</t>
  </si>
  <si>
    <t>HURTADO NUÑEZ, ELIZABETH FLOR</t>
  </si>
  <si>
    <t>BRAVO HURTADO, MAGDALENA</t>
  </si>
  <si>
    <t>MEDINA RAYO, MARCELINA</t>
  </si>
  <si>
    <t>ROJAS ROBLES, FRANCISCO</t>
  </si>
  <si>
    <t>BRAVO HURTADO, GILBERT</t>
  </si>
  <si>
    <t>FALCON ROBLES, PIO</t>
  </si>
  <si>
    <t>BRAVO DIAZ, CORINA</t>
  </si>
  <si>
    <t>CONTRERAS ROJAS, JUAN CANCIO</t>
  </si>
  <si>
    <t>CONTRERAS DE HURTADO, DONATILA</t>
  </si>
  <si>
    <t>MONTES BRAVO, ALAIN</t>
  </si>
  <si>
    <t>TELLO DE ABARCA, SILVESTRINA</t>
  </si>
  <si>
    <t>HURTADO DE BRAVO, MAGDALENA</t>
  </si>
  <si>
    <t>NUÑEZ ROBLES, JESUS</t>
  </si>
  <si>
    <t>NUÑEZ OLIVERA, ELIZABETH</t>
  </si>
  <si>
    <t>MONTES CONTRERAS, YOLA YONELA</t>
  </si>
  <si>
    <t>ROJAS ROBLES, FORTUNATO</t>
  </si>
  <si>
    <t>ABARCA CONTRERAS, ASENCION</t>
  </si>
  <si>
    <t>SORAS DIAZ, VALENTINA</t>
  </si>
  <si>
    <t>MONTES NUÑEZ, RICARDO</t>
  </si>
  <si>
    <t>AGUIRRE ROBLES, MELCHOR</t>
  </si>
  <si>
    <t>VARA CONTRERAS, ANNLY</t>
  </si>
  <si>
    <t>AROSTI CONTRERAS, ASUNTA</t>
  </si>
  <si>
    <t>GALINDO DIAZ, ISABEL</t>
  </si>
  <si>
    <t>ROBLES FALCON, EMILIANO A</t>
  </si>
  <si>
    <t>FALCON FERNANDEZ, MODESTO</t>
  </si>
  <si>
    <t>AROSTE CONTRERAS, JUAN BAUTISTA</t>
  </si>
  <si>
    <t>AROSTE TORRES, JUAN ELIAS</t>
  </si>
  <si>
    <t>HUARTON ROMAN, CIRILO</t>
  </si>
  <si>
    <t>CCOSCCO RIVAS, VILMA</t>
  </si>
  <si>
    <t>TELLO ALLCCA, PAULINA</t>
  </si>
  <si>
    <t>ROJAS QUISPE, EVERT SALVADOR</t>
  </si>
  <si>
    <t>QUISPE DIAZ, CRICELDA</t>
  </si>
  <si>
    <t>CAHICHIHUA CCOPA, PEDRO</t>
  </si>
  <si>
    <t>DIAZ RIPAS, JESUS</t>
  </si>
  <si>
    <t>ROJAS VALENTE, MARISOL</t>
  </si>
  <si>
    <t>QUISPE VALENTE, PEDRO CIRILO</t>
  </si>
  <si>
    <t>ROJAS QUISPE, CRISANTO</t>
  </si>
  <si>
    <t>QUISPE NUÑEZ, PAULINA</t>
  </si>
  <si>
    <t>BRAVO QUISPE, JOVANA</t>
  </si>
  <si>
    <t>DIAZ DE SORAS, PAULINA</t>
  </si>
  <si>
    <t>MARCATOMA CCAHUANA, JUSTINA</t>
  </si>
  <si>
    <t>ROJAS QUISPE, NORMA ESTHER</t>
  </si>
  <si>
    <t>CORTEZ ORTEGA, CLAUDIO</t>
  </si>
  <si>
    <t>DIAZ QUISPE, MARTHA</t>
  </si>
  <si>
    <t>MARCATOMA DE PAREJA, VALENTINA</t>
  </si>
  <si>
    <t>GUZMAN SULLCA, MARCOS</t>
  </si>
  <si>
    <t>ROJAS CCAHUANA, FLORENCIA</t>
  </si>
  <si>
    <t>CAICHIHUA CONTRERAS, MARCELA</t>
  </si>
  <si>
    <t>ROJAS CAICHIHUA, SANTIAGO</t>
  </si>
  <si>
    <t>CAICHIHUA CCOPA, JAIME</t>
  </si>
  <si>
    <t>ROJAS QUISPE, LUZ MARINA</t>
  </si>
  <si>
    <t>ABARCA DE ROBLES, EUGENIA</t>
  </si>
  <si>
    <t>RIPAS CONTRERAS, SANTIAGO</t>
  </si>
  <si>
    <t>DIAZ ROJAS, NILDA LUCILA</t>
  </si>
  <si>
    <t>TORRES CHAVEZ, PAULINA</t>
  </si>
  <si>
    <t>CONTRERAS NUÑEZ, VICTOR RAUL</t>
  </si>
  <si>
    <t>TINTAY</t>
  </si>
  <si>
    <t>JUAREZ VELASQUE, LUZ MERY</t>
  </si>
  <si>
    <t>CRUZ GONZALES, LORENZA</t>
  </si>
  <si>
    <t>RIOS MIRANDA, GUILLERMO</t>
  </si>
  <si>
    <t>HUAJAMAITA CCOPA, JUANA LUZ</t>
  </si>
  <si>
    <t>FUENTES RIVERA ROQUE, ANGELA LINDA MAR</t>
  </si>
  <si>
    <t>SALAS CONTRERAS DE ALZAMORA, DOLORES</t>
  </si>
  <si>
    <t>HUAMANI PALOMINO, VICTOR</t>
  </si>
  <si>
    <t>PORTILLO SORAS, SARITA</t>
  </si>
  <si>
    <t>CONTRERAS PALOMINO, LEONARDO</t>
  </si>
  <si>
    <t>CCORAHUA CONDORI, CRISPIN</t>
  </si>
  <si>
    <t>CONTRERAS PALOMINO, JULIA</t>
  </si>
  <si>
    <t>MAÑUICO HUAMAN, MARINO</t>
  </si>
  <si>
    <t>CERON PALOMINO, ALFONSO</t>
  </si>
  <si>
    <t>ZEGARRA VELASQUE, RAYMUNDO</t>
  </si>
  <si>
    <t>ORTIZ MELENDEZ, SABASTIANA ISABEL</t>
  </si>
  <si>
    <t>HUAMAN MAMANI, ANGELICA PRESENTACION</t>
  </si>
  <si>
    <t>RIOS SULLCA, SABINA</t>
  </si>
  <si>
    <t>ORTIZ MELENDEZ, NELLY VIOLETA</t>
  </si>
  <si>
    <t>ROBLES MENDIETA, DONATO</t>
  </si>
  <si>
    <t>ASCUE QUINTANA DE BRAVO, ISIDORA</t>
  </si>
  <si>
    <t>HUAMANI ACHATA, RUTH</t>
  </si>
  <si>
    <t>ASCUE BRAVO, LEONOR</t>
  </si>
  <si>
    <t>ENCISO PALOMINO, JACINTO</t>
  </si>
  <si>
    <t>BRAVO ENCISO DE VALENCIA, CEFERINA</t>
  </si>
  <si>
    <t>MOSCOSO RIVEROS, MARUJA</t>
  </si>
  <si>
    <t>RIVERA BARRIENTOS DE MERINO, JUSTINA</t>
  </si>
  <si>
    <t>COLLAVINO PALOMINO, CRISTINA</t>
  </si>
  <si>
    <t>PALOMINO CONTRERAS, YOLANDA</t>
  </si>
  <si>
    <t>TORVISCO RIOS, TOMAS</t>
  </si>
  <si>
    <t>COCCHI HUACCALSAICO, AGUSTIN</t>
  </si>
  <si>
    <t>QUISPE BRAVO, JUANA</t>
  </si>
  <si>
    <t>JUAREZ PALOMINO, TORIBIO</t>
  </si>
  <si>
    <t>PEREZ PALOMINO, ANTONIO</t>
  </si>
  <si>
    <t>ANDRADE ENCISO, LUCIA SANTOSA</t>
  </si>
  <si>
    <t>SALCEDO ALARCON, ORLANDO</t>
  </si>
  <si>
    <t>PALOMINO GONZALES, CELSA MILCA</t>
  </si>
  <si>
    <t>CCOPA ANTAY, AVELINA</t>
  </si>
  <si>
    <t>SAYAGO RIOS, MAXIMILIANA</t>
  </si>
  <si>
    <t>MIRANDA MENACHO, ENRIQUE CAMILO</t>
  </si>
  <si>
    <t>CAILLAHUA PUMA, SIMONA</t>
  </si>
  <si>
    <t>RAMIREZ MOSCOSO, JUAN</t>
  </si>
  <si>
    <t>HUAMAN RIVERA DE ENCISO, SANTOSA</t>
  </si>
  <si>
    <t>PEREZ SALAS, JUSTO</t>
  </si>
  <si>
    <t>MENACHO MONTOYA, JACINTA</t>
  </si>
  <si>
    <t>RUIZ GUILLEN DE RIOS, ERNESTINA</t>
  </si>
  <si>
    <t>HUAMAN CCERARE DE UTANE, GENOVEVA</t>
  </si>
  <si>
    <t>ZEGARRA CANCHO, SARITA</t>
  </si>
  <si>
    <t>BARRIENTOS RUIZ, FRANCISCO</t>
  </si>
  <si>
    <t>RIOS SULLCA, JULIANA</t>
  </si>
  <si>
    <t>LUCRE</t>
  </si>
  <si>
    <t>ROMERO SALAZAR, SANTOS</t>
  </si>
  <si>
    <t>LLACTAS SULLCA DE ENCISO, EGIDIA</t>
  </si>
  <si>
    <t>ENCISIO BARRIENTOS, SANTIAGO</t>
  </si>
  <si>
    <t>PALOMINO AVALOS DE PORTILLO, VISITACION</t>
  </si>
  <si>
    <t>ENCISO PORTILLO, FELICIANO</t>
  </si>
  <si>
    <t>PALOMINO JIMENEZ, MARIA TIMOTEA</t>
  </si>
  <si>
    <t>ROJAS QUISPE, JONY</t>
  </si>
  <si>
    <t>ONTON ESPINOZA, JUAN</t>
  </si>
  <si>
    <t>ONTON VELASQUE, CELSA</t>
  </si>
  <si>
    <t>PEREZ SAAVEDRA, ABEL</t>
  </si>
  <si>
    <t>PORTILLO RIVEROS, TEOFILO</t>
  </si>
  <si>
    <t>MENDIETA PANIORA, ROSA</t>
  </si>
  <si>
    <t>SAN JUAN DE CHAC¥A</t>
  </si>
  <si>
    <t>MARTINEZ TELLO, TOMAS</t>
  </si>
  <si>
    <t>VIVANCO HUANCA, VICTORIA</t>
  </si>
  <si>
    <t>TORVISCO RIOS DE BRAVO, SUSANA</t>
  </si>
  <si>
    <t>CONTRERAS VELASQUEZ, GASPAR</t>
  </si>
  <si>
    <t>TORVISCO CONTRERAS, LEONCIA</t>
  </si>
  <si>
    <t>PEREZ ROJAS, BENJAMIN</t>
  </si>
  <si>
    <t>TORBISCO RIOS, CRISTINA</t>
  </si>
  <si>
    <t>VELAZQUE RIOS, SANTIAGO</t>
  </si>
  <si>
    <t>PALOMINO TORVISCO, HERMOGENES</t>
  </si>
  <si>
    <t>CONTRERAS VIVANCO, RICARDINA</t>
  </si>
  <si>
    <t>LARA LUQUE, RAQUEL</t>
  </si>
  <si>
    <t>PALOMINO CACERES, JUANITA</t>
  </si>
  <si>
    <t>LOPEZ CONTRERAS, FIDELIA</t>
  </si>
  <si>
    <t>CONTRERAS SALAS, CIRILA ANTONIA</t>
  </si>
  <si>
    <t>ARONI TORBISCO, JUSTO VICENTE</t>
  </si>
  <si>
    <t>AYALA TOMATEO, BENEDICTO</t>
  </si>
  <si>
    <t>TORVISCO TELLO, NICOLAS</t>
  </si>
  <si>
    <t>ALARCON RIOS, GUALBERTA</t>
  </si>
  <si>
    <t>TORVISCO JAURIGUI, JESUS</t>
  </si>
  <si>
    <t>MARTINEZ DE VELAZQUES, GUADALUPE</t>
  </si>
  <si>
    <t>TOMATEO RODRIGUES DE TORVISCO, PAULINA</t>
  </si>
  <si>
    <t>RIOS TORVISCO DE TOMATEO, PLACIDA</t>
  </si>
  <si>
    <t>PALOMINO CONTRERAS, CARMEN NICOLASA</t>
  </si>
  <si>
    <t>ESPINOZA PALOMINO, ENRIQUE</t>
  </si>
  <si>
    <t>NICOCHEA RIOS, CLARITA</t>
  </si>
  <si>
    <t>PALOMINO CONTRERAS, JULIA</t>
  </si>
  <si>
    <t>ARONE CONTRERAS, MARIA</t>
  </si>
  <si>
    <t>RIOS ALARCON, DIONICIA</t>
  </si>
  <si>
    <t>TORO ARONI, GUMERCINDO</t>
  </si>
  <si>
    <t>CONTRERAS PALOMINO, OCTAVILA</t>
  </si>
  <si>
    <t>RIOS ESPINOZA, PASTOR</t>
  </si>
  <si>
    <t>SALAS TOMATEO, JUANA</t>
  </si>
  <si>
    <t>ANDIA CAHUANA DE CHAVEZ, MARIA</t>
  </si>
  <si>
    <t>MIRANDA VDA DE TORVISCO, PASCUALA</t>
  </si>
  <si>
    <t>ALLCCA SAENZ, ANA MARIA</t>
  </si>
  <si>
    <t>LOPEZ ACHULLI, EDITH</t>
  </si>
  <si>
    <t>HUAMANI ANCCO, SABINA JUANA</t>
  </si>
  <si>
    <t>CONDORI TAIPE, JUANA</t>
  </si>
  <si>
    <t>SALAS QUISPE, AGRIPINA</t>
  </si>
  <si>
    <t>PANDO MEZA, AMPARO</t>
  </si>
  <si>
    <t>HUAMANI YNCA, ANTONIA</t>
  </si>
  <si>
    <t>ANDIA CAHUANA, ANA MARIA</t>
  </si>
  <si>
    <t>QUISPE ESPINOZA, JUAN</t>
  </si>
  <si>
    <t>QUISPE QUISPITUPA, PABLO</t>
  </si>
  <si>
    <t>PAREJA RETAMOZO, LOURDES</t>
  </si>
  <si>
    <t>COLLAVINO HUAMANI, VICTORIA</t>
  </si>
  <si>
    <t>CANASA MAMANI, OLINDA</t>
  </si>
  <si>
    <t>PEREZ TAPIA, SANTA CATALINA</t>
  </si>
  <si>
    <t>SAENZ QUISPE, FEDERICO</t>
  </si>
  <si>
    <t>CCAHUANA GUERRERO, MODESTA</t>
  </si>
  <si>
    <t>MORIANO HUANCA, LORENZO</t>
  </si>
  <si>
    <t>CONDORI VELASQUE, LUCIO</t>
  </si>
  <si>
    <t>ROBLES MORALES, MATEO</t>
  </si>
  <si>
    <t>QUISPECAHUANA MEZA, SIMEON</t>
  </si>
  <si>
    <t>TOSCANO RAMOS, AGUSTIN EUGENIO</t>
  </si>
  <si>
    <t>VILCAS SALCEDO, HERLINDA</t>
  </si>
  <si>
    <t>ROJAS PAREJA, FIDELIA</t>
  </si>
  <si>
    <t>MEDRANO MUÑOZ, JORGINA</t>
  </si>
  <si>
    <t>HUERTAS LOPEZ, MARIO AUGUSTO</t>
  </si>
  <si>
    <t>TAYPE MACHUCA, FELICIANO</t>
  </si>
  <si>
    <t>RIOS SIMIONA, JIMENEZ</t>
  </si>
  <si>
    <t>AROSTI ZAMALLOA, ALFREDO</t>
  </si>
  <si>
    <t>AVENDAÑO JACINTO, ROXANA</t>
  </si>
  <si>
    <t>CHAVEZ SALAZAR, ROSELL</t>
  </si>
  <si>
    <t>BACA DE PANTIGOSO, JOSEFA</t>
  </si>
  <si>
    <t>MENDOZA DE CARRASCO, MAXIMILIANA</t>
  </si>
  <si>
    <t>VIVANCO DE FERNANDEZ, PLACIDA</t>
  </si>
  <si>
    <t>HUERTAS FERNANDEZ, IGNACIO</t>
  </si>
  <si>
    <t>AROSTE DE CARRION, BASILIA</t>
  </si>
  <si>
    <t>CASTILLO SALAZAR, EULOGIO</t>
  </si>
  <si>
    <t>ROJAS DIAZ, MARTHA</t>
  </si>
  <si>
    <t>CAMACHO MATENCIO, ANGELA RUTH</t>
  </si>
  <si>
    <t>SALAZAR CAYLLAHUA, ELIZABET</t>
  </si>
  <si>
    <t>CASTILLO CASTILLO, MARIZOL</t>
  </si>
  <si>
    <t>CAYLLAHUA QUIVIA, OLGA</t>
  </si>
  <si>
    <t>TRUEVAS AQUINO, IGNACIO</t>
  </si>
  <si>
    <t>UTANI ALCCA, FRANCISCA</t>
  </si>
  <si>
    <t>HUILLCAHUAYA ÑAHUI, JACINTA</t>
  </si>
  <si>
    <t>CAYLLAHUA FLORES, MAGDALENA</t>
  </si>
  <si>
    <t>QUISPE VILLARRUEL, HONORATO</t>
  </si>
  <si>
    <t>CAYLLAHUA ALCCA, LORENZA</t>
  </si>
  <si>
    <t>SALAZAR QUISPE, AMALIA</t>
  </si>
  <si>
    <t>CAYLLAHUA PUMA, DOLORES</t>
  </si>
  <si>
    <t>CAYLLAHUA PUMA, DOROTEA</t>
  </si>
  <si>
    <t>BERMUDEZ UTANI, CARMEN</t>
  </si>
  <si>
    <t>ROMERO PEREZ, DONATA</t>
  </si>
  <si>
    <t>VARGAS ZEGARRA, ROSALIO</t>
  </si>
  <si>
    <t>CHECCLLO CCAHUANA, ELISEO</t>
  </si>
  <si>
    <t>HUILLCAHUAYA ÑAHUI, BIBIANA</t>
  </si>
  <si>
    <t>HUANCA PEREZ, GREGORIO ENRIQUE</t>
  </si>
  <si>
    <t>SORAS DIAS, MARCELINA</t>
  </si>
  <si>
    <t>CHIPA DE SAAVEDRA, MAGDALENA</t>
  </si>
  <si>
    <t>SORAS DIAZ, PAULINA</t>
  </si>
  <si>
    <t>CHACON MARCATOMA, CRISTINA</t>
  </si>
  <si>
    <t>BRAVO LOZANO, SANTIAGO</t>
  </si>
  <si>
    <t>CHAVEZ DE PUMA, LORIA ESTHER</t>
  </si>
  <si>
    <t>CAICHIHUA ROJAS, NICOLAS</t>
  </si>
  <si>
    <t>CHACON LOZANO, ALEJANDRO</t>
  </si>
  <si>
    <t>PANTIGOSO DE MUÑOZ, ROSA</t>
  </si>
  <si>
    <t>PANTIGOSO GARCIA, SOFIA GRIMANEZA</t>
  </si>
  <si>
    <t>QUISPE BACA, DORA</t>
  </si>
  <si>
    <t>CONTRERAS QQUERARI, CONSTANTINO</t>
  </si>
  <si>
    <t>NUÑEZ QUISPE, GREGORIO</t>
  </si>
  <si>
    <t>GONZALES BRAVO, MAGALY</t>
  </si>
  <si>
    <t>UTANI ESPINOZA, SANTOS</t>
  </si>
  <si>
    <t>URFANO FLORES DE ARENAS, SALOMENA</t>
  </si>
  <si>
    <t>MIRANDA ALARCON, DORA</t>
  </si>
  <si>
    <t>JUAREZ ALMANZA, AMELIA</t>
  </si>
  <si>
    <t>URPE PEREZ, ANTONIO</t>
  </si>
  <si>
    <t>CHARA FUENTES, FABIAN</t>
  </si>
  <si>
    <t>GONZALES ALZAMORA DE CRUZ, MARIA</t>
  </si>
  <si>
    <t>PAREJA MARCATOMA, NOEMI</t>
  </si>
  <si>
    <t>ROBLES QUISPE, NATIVIDAD</t>
  </si>
  <si>
    <t>BACA ROJAS, YANETH</t>
  </si>
  <si>
    <t>HUANCA RIPAS, NARCIZO</t>
  </si>
  <si>
    <t>BACA DE PAREJA, FAUSTINA</t>
  </si>
  <si>
    <t>CHACON LOZANO, GUILLERMO</t>
  </si>
  <si>
    <t>MAGALLAN ROJAS, ADELA</t>
  </si>
  <si>
    <t>VEGA CARRASCO, MAURO</t>
  </si>
  <si>
    <t>CASTILLA BRAVO, LUISA</t>
  </si>
  <si>
    <t>CAICHIHUA BRAVO, SAIDA MARLENY</t>
  </si>
  <si>
    <t>ARONI MARCATOMA, JUAN</t>
  </si>
  <si>
    <t>MONTES HUAMAN, MARCOS</t>
  </si>
  <si>
    <t>RAMOS PICHIHUA, CARLOS</t>
  </si>
  <si>
    <t>HUILLCAS HUAMAN, LINO</t>
  </si>
  <si>
    <t>HUILLCAS SERRANO, MARCELINO</t>
  </si>
  <si>
    <t>HUILLCAS HUAMAN, CECILIO</t>
  </si>
  <si>
    <t>BUITRON HUAYTARA, TEOFILA</t>
  </si>
  <si>
    <t>OCHOA AMPUERO, AGUSTIN</t>
  </si>
  <si>
    <t>VILCAS TORRES, LEONCIO</t>
  </si>
  <si>
    <t>OCOBAMBA</t>
  </si>
  <si>
    <t>INCA HUAMANI, JUSTINIANO</t>
  </si>
  <si>
    <t>UTANI PERALTA, JUSTO</t>
  </si>
  <si>
    <t>RUIZ ARANGO, PABLO MAXIMO</t>
  </si>
  <si>
    <t>QUISPE OSCCO, MODESTA</t>
  </si>
  <si>
    <t>ARIAS DE LOAIZA, AGUSTINA</t>
  </si>
  <si>
    <t>TORRES RODRIGUEZ, RONALD</t>
  </si>
  <si>
    <t>ANDIA MEDRANO, SATURNINO</t>
  </si>
  <si>
    <t>SAMANEZ VIVANCO, PLACIDA LUCILA</t>
  </si>
  <si>
    <t>PALOMINO ARIAS, VICTORIA</t>
  </si>
  <si>
    <t>PEÑA ROLY, ANDIA</t>
  </si>
  <si>
    <t>PAREJA ASTO, PASCUALITA</t>
  </si>
  <si>
    <t>ARANGO RODRIGUEZ, INOSENCIO POLINARIO</t>
  </si>
  <si>
    <t>PALOMINO ROJAS, BRUNO</t>
  </si>
  <si>
    <t>LOAIZA RIOS, FERMIN</t>
  </si>
  <si>
    <t>RUIZ ABARCA, LINO</t>
  </si>
  <si>
    <t>BAUTISTA CCARHUAS, CIPRIAN</t>
  </si>
  <si>
    <t>FARFAN BELTRAN, EPIFANIA</t>
  </si>
  <si>
    <t>BAUTISTA TORRES, ROXANA GLADYS</t>
  </si>
  <si>
    <t>BAUTISTA CCARHUAS, PATROCINIO</t>
  </si>
  <si>
    <t>ROBLES MARCATOMA, BARBARITA</t>
  </si>
  <si>
    <t>TREJO ORE, JUAN</t>
  </si>
  <si>
    <t>MEZA RIOS, VISITACION</t>
  </si>
  <si>
    <t>VALENTE CACERES, TOMASA</t>
  </si>
  <si>
    <t>RODRIGUEZ ARANGO, EVARISTA</t>
  </si>
  <si>
    <t>GUERRA BRAVO, JUAN TEODORO</t>
  </si>
  <si>
    <t>RIOS MEDRANO, MARCELINO ERASMO</t>
  </si>
  <si>
    <t>ANCALLA LAGOS, ESTHER ESTELA</t>
  </si>
  <si>
    <t>CASTRO DE QUISPECAHUANA, EUGENIA</t>
  </si>
  <si>
    <t>FARFAN BELTRAN, GEORGINA ADELINA</t>
  </si>
  <si>
    <t>QUISPECAHUANA ASTO, ANASTACIO</t>
  </si>
  <si>
    <t>ROBLES ROJAS, JASMINIA</t>
  </si>
  <si>
    <t>TELLO CASTRO, SANTIAGO</t>
  </si>
  <si>
    <t>RIOS MEDRANO, JULIAN</t>
  </si>
  <si>
    <t>CCARHUAS CARRION, EDWIN</t>
  </si>
  <si>
    <t>DONAIRES NAVENTA, TIMOTEA</t>
  </si>
  <si>
    <t>QUISPECAHUANA ASTO, SANTOSA</t>
  </si>
  <si>
    <t>LLACCHUA BRAVO, SANTOS</t>
  </si>
  <si>
    <t>RODRIGUEZ GONZALES, OSCAR</t>
  </si>
  <si>
    <t>ROJAS RIOS, MARTINA</t>
  </si>
  <si>
    <t>RUIZ ANDIA, TOMASA</t>
  </si>
  <si>
    <t>BELTRAN PIPA, MATEO</t>
  </si>
  <si>
    <t>MEDRANO BAUTISTA, DELIA</t>
  </si>
  <si>
    <t>ALCCA ALFONSO, LIMA</t>
  </si>
  <si>
    <t>RIOS DE LLACCHUA, JUVITA FAUSTINA</t>
  </si>
  <si>
    <t>GONZALES LOAYZA, MARIO</t>
  </si>
  <si>
    <t>ROJAS BACA, APARICIO</t>
  </si>
  <si>
    <t>CONDORI MARCATOMA, CELEDONIA</t>
  </si>
  <si>
    <t>LLACCHUA ROBLES, JULIAN</t>
  </si>
  <si>
    <t>PALOMINO ARANGO, MELQUIADES</t>
  </si>
  <si>
    <t>CONDORI MARCATOMA, JOSE LUIS</t>
  </si>
  <si>
    <t>DIAZ TITO, VILMA</t>
  </si>
  <si>
    <t>LOAIZA ROJAS, CIRILO</t>
  </si>
  <si>
    <t>LLACCHUA RIOS, ALEJANDRINO</t>
  </si>
  <si>
    <t>DONAIRES MARQUEZ, AYDE</t>
  </si>
  <si>
    <t>HURTADO PACCO, JUAN GUALBERTO</t>
  </si>
  <si>
    <t>HURTADO HERHUAY, JESUSA</t>
  </si>
  <si>
    <t>ORTEGA HUAYTA, FLORENTINO</t>
  </si>
  <si>
    <t>BELTRAN ROJAS, GUADALUPE</t>
  </si>
  <si>
    <t>MEDRANO ARIAS, JAIME LEONARDO</t>
  </si>
  <si>
    <t>ESCOBAR GUERRA, CRISTINA</t>
  </si>
  <si>
    <t>BRAVO ORTEGA, MARIBEL</t>
  </si>
  <si>
    <t>JIMENEZ BELTRAN, SEGUNDINA</t>
  </si>
  <si>
    <t>LAGOS DE PACCO, HONORATA</t>
  </si>
  <si>
    <t>JIMENEZ BELTRAN, ALEJANDRO</t>
  </si>
  <si>
    <t>ARIAS CHIPA, ANTONIO</t>
  </si>
  <si>
    <t>TITO ROJAS, JULIO</t>
  </si>
  <si>
    <t>QUISPE MAMANI, DELIA</t>
  </si>
  <si>
    <t>SORIAS MONDRAGON, NORMA</t>
  </si>
  <si>
    <t>BACA ROJAS, ISAIAS</t>
  </si>
  <si>
    <t>FARFAN BELTRAN, SANTOS</t>
  </si>
  <si>
    <t>CCAHUANA MEZA, JESUS</t>
  </si>
  <si>
    <t>QUITO CARIRE, BENEDICTA</t>
  </si>
  <si>
    <t>RUIZ ARANGO, ESTANISLAO</t>
  </si>
  <si>
    <t>HUAMANI CHOQUE, FLORA</t>
  </si>
  <si>
    <t>HUAMANI PINARES, JUANA</t>
  </si>
  <si>
    <t>VILLEGAS YUTO, FELICITAS</t>
  </si>
  <si>
    <t>GUILLEN TAYPE, AGUSTINA</t>
  </si>
  <si>
    <t>LUNA REYNAGA, LOURDES SALOME</t>
  </si>
  <si>
    <t>GARFIAS VDA DE VIVANCO, JESUSA</t>
  </si>
  <si>
    <t>ALTAMIRANO DE ROJAS, CLAUDIA</t>
  </si>
  <si>
    <t>RIVERA ALARCON, EULOGIO</t>
  </si>
  <si>
    <t>HUAMAN APARCO, HIPOLITO</t>
  </si>
  <si>
    <t>ESPINOZA RIVERA, VIDALINE</t>
  </si>
  <si>
    <t>VASQUEZ VARGAS, EDITH</t>
  </si>
  <si>
    <t>QUISPE OSCCO, AMBROCIO</t>
  </si>
  <si>
    <t>ANDRADE OLIVARES, MAURA</t>
  </si>
  <si>
    <t>APARCO JIMENEZ, LUISA</t>
  </si>
  <si>
    <t>MINA DE PASTOR, BERNA</t>
  </si>
  <si>
    <t>DIAZ SAMANEZ, MARIA ELENA</t>
  </si>
  <si>
    <t>ALARCON RIVERA, FERNANDO</t>
  </si>
  <si>
    <t>RIVERA DE RAMIREZ, ISABEL</t>
  </si>
  <si>
    <t>MOSCOSO ZUÑIGA, ANITA</t>
  </si>
  <si>
    <t>ALARCON ROMERO, ERNESTO</t>
  </si>
  <si>
    <t>BULEJE SUÑIGA, JESUSA</t>
  </si>
  <si>
    <t>VELASQUES ARENAS, JUANA</t>
  </si>
  <si>
    <t>VELASQUE SERNA, JUAN DE DIOS</t>
  </si>
  <si>
    <t>HUAMAN PAUCAR, KARINA</t>
  </si>
  <si>
    <t>OSCCO DE CASA, EULOGIA</t>
  </si>
  <si>
    <t>VELASQUE CUSI, FELICITAS</t>
  </si>
  <si>
    <t>MORENO ENCISO, GREGORIO</t>
  </si>
  <si>
    <t>QUISPE HUAMAN, GLICERIO</t>
  </si>
  <si>
    <t>ESPINOZA ARROYO, MAURO</t>
  </si>
  <si>
    <t>ZEVALLOS CCONISLLA, VILMA</t>
  </si>
  <si>
    <t>FLORES CCENTE, HERMINIA</t>
  </si>
  <si>
    <t>LIGARDA GOMEZ, CARLOS BLADIMIRO</t>
  </si>
  <si>
    <t>GONZALES GUIZADO, MARGARITA R.</t>
  </si>
  <si>
    <t>LEGUIA CENTENO, EVER</t>
  </si>
  <si>
    <t>MENDEZ CORAS, ANA MARIA</t>
  </si>
  <si>
    <t>VIVANCO ALTAMIRANO, CEIDA</t>
  </si>
  <si>
    <t>SOPANTA TORRES, RUFINA</t>
  </si>
  <si>
    <t>YUTO VASQUEZ, BASILIA</t>
  </si>
  <si>
    <t>VEGA RUIZ, JUANA</t>
  </si>
  <si>
    <t>HUAMAN PACHECO, SAIDA</t>
  </si>
  <si>
    <t>ALHUAY QUISPE, AURELIA</t>
  </si>
  <si>
    <t>REINAGA AGUIRRE, DANIEL</t>
  </si>
  <si>
    <t>HUAMALI ROJAS, HERLINDA</t>
  </si>
  <si>
    <t>HUAMAN COTARMA, VALENTIN</t>
  </si>
  <si>
    <t>ROJAS VILCAS, ALEJANDRINA</t>
  </si>
  <si>
    <t>OMONTE OSCCO, TEODORA</t>
  </si>
  <si>
    <t>VASQUEZ AROHUILLCA, VICTOR</t>
  </si>
  <si>
    <t>RINCON SANCHEZ, NELY ROSARIO</t>
  </si>
  <si>
    <t>MEDINA RINCON, YOLANDA</t>
  </si>
  <si>
    <t>GUISADO YUTO, FELICITAS</t>
  </si>
  <si>
    <t>RAMIREZ PONCECA, CELSA TEODORA</t>
  </si>
  <si>
    <t>GUZMAN BARIENTOS, LUISA</t>
  </si>
  <si>
    <t>ROMAN DE RIVAS, MARIA</t>
  </si>
  <si>
    <t>AGUILAR VENTURA, CLAUDIO</t>
  </si>
  <si>
    <t>ALTAMIRANO PALOMINO, SALVADOR</t>
  </si>
  <si>
    <t>ROJAS OSCCO, LUCIA</t>
  </si>
  <si>
    <t>MAUCAYLLE HUACHUILLCA, MARIBEL</t>
  </si>
  <si>
    <t>GARFIAS CONTRERAS, JUANA</t>
  </si>
  <si>
    <t>QUISPE HUAMAN, MARI LUZ</t>
  </si>
  <si>
    <t>MITMA LOPEZ, URBANO</t>
  </si>
  <si>
    <t>RIVAS CHIPAO, ADILSON</t>
  </si>
  <si>
    <t>BALDARRAGO ATAY, OLGA ESTHER</t>
  </si>
  <si>
    <t>QUISPE ANDULANTE, SATURNINA</t>
  </si>
  <si>
    <t>CARDENAS VELARDE, JUAN AMADOR</t>
  </si>
  <si>
    <t>UMERES PAUCCAR, TIMOTEA</t>
  </si>
  <si>
    <t>HUAMAN PEDRAZA, JESENIA MARILY</t>
  </si>
  <si>
    <t>TRUYENQUE MOLERO, GABRIEL</t>
  </si>
  <si>
    <t>CUSI QUISPE, SANTOSA</t>
  </si>
  <si>
    <t>MEDINA FRANCO, ALEJANDRINO</t>
  </si>
  <si>
    <t>VARGAS OSCCO, AMBROCIO</t>
  </si>
  <si>
    <t>OSCCO MUÑOZ, EMETERIO</t>
  </si>
  <si>
    <t>SILVA ALTAMIRANO, GABRIEL</t>
  </si>
  <si>
    <t>HUAMANI CUARESMA, ELVA</t>
  </si>
  <si>
    <t>ROJAS FLORES, SIXTA</t>
  </si>
  <si>
    <t>ORTIZ VELASQUE, SONIA</t>
  </si>
  <si>
    <t>CORODVA PEREIRA, MARIA VILMA</t>
  </si>
  <si>
    <t>CURI QUISPE, HERLIND</t>
  </si>
  <si>
    <t>TAIPE VERA, SERAPIO BELTRAN</t>
  </si>
  <si>
    <t>HUAMAN LIMA, MARINA</t>
  </si>
  <si>
    <t>ANDRADE QUISPE, RAUL</t>
  </si>
  <si>
    <t>DAMIANO PEDRAZA, SERAPIO</t>
  </si>
  <si>
    <t>RIVAS HUIZA, MARIA</t>
  </si>
  <si>
    <t>ALTAMIRANO CANCHARI, MARIBEL</t>
  </si>
  <si>
    <t>MALLMA ARONI, VILMA</t>
  </si>
  <si>
    <t>DE LA CRUZ ALTAMIRANO, PAULINA</t>
  </si>
  <si>
    <t>JUAREZ MUÑOZ, AVELINO</t>
  </si>
  <si>
    <t>PARIONA HUARACA, MARCELINA</t>
  </si>
  <si>
    <t>TAIPE FLORES, VICTOR</t>
  </si>
  <si>
    <t>GALVAN DE ALTAMIRANO, SARAGOSA</t>
  </si>
  <si>
    <t>CANCHARI DAMIAN, TEOFILA</t>
  </si>
  <si>
    <t>URQUIZO ALHUAY, CARLOS ALBERTO</t>
  </si>
  <si>
    <t>HUACCAYCACHACC RINCON, BELIZARIO</t>
  </si>
  <si>
    <t>ROJAS MARITZA, DAMIANO</t>
  </si>
  <si>
    <t>CUSI CASTRO, VICTOR</t>
  </si>
  <si>
    <t>DAMIANO VARGAS, JULIAN</t>
  </si>
  <si>
    <t>RIVAS OSCCO, MARINA</t>
  </si>
  <si>
    <t>HUAMAN PICHUHUA, VIOLETA</t>
  </si>
  <si>
    <t>GARFIAS ISLACHIN, DOMINGO</t>
  </si>
  <si>
    <t>PEREZ PALOMINO, MARUJA VICTORIA</t>
  </si>
  <si>
    <t>PEREZ CCORISONCCO, MAXI</t>
  </si>
  <si>
    <t>MAUCALLE HUAMAN, SANTOS</t>
  </si>
  <si>
    <t>VILLARRUEL LOAYSA, VILMA</t>
  </si>
  <si>
    <t>ALLCCA CONTRERAS, AURELIA</t>
  </si>
  <si>
    <t>LIMA HUAMAN, SANTUSA</t>
  </si>
  <si>
    <t>NAVARRO TAPIA, DINA</t>
  </si>
  <si>
    <t>CCENTE JUANA, CCAHUANA</t>
  </si>
  <si>
    <t>GALVEZ MONTOYA, OLGA EDITH</t>
  </si>
  <si>
    <t>LAYME SANCHEZ, NARCISA</t>
  </si>
  <si>
    <t>RIVAS CCAHUANA, ELENA</t>
  </si>
  <si>
    <t>TITO CARDENAS, CARLOS</t>
  </si>
  <si>
    <t>VARGAS PEREZ, VIOLETA</t>
  </si>
  <si>
    <t>AYCHU TOMAYLLA, SANTOS</t>
  </si>
  <si>
    <t>ALTAMIRANO BAUTISTA, WALTER</t>
  </si>
  <si>
    <t>HUAMANI DAMIANO, SABINO</t>
  </si>
  <si>
    <t>CHOCCE ANCCO, SATURNINO</t>
  </si>
  <si>
    <t>TUEROS SAEZ, ODELIA</t>
  </si>
  <si>
    <t>TORRES FLORES, SONIA</t>
  </si>
  <si>
    <t>YUTO MUÑOZ, ALEJANDRA</t>
  </si>
  <si>
    <t>CCORINSONCCO TITO, ROBERTO</t>
  </si>
  <si>
    <t>PUMA HUAMANORCCO, SEGUNDINO</t>
  </si>
  <si>
    <t>FLORES TAIPE, DOMINGA</t>
  </si>
  <si>
    <t>MUÑOZ DAMIANO, REYNALDO</t>
  </si>
  <si>
    <t>PUGA VEGA, CERIACO</t>
  </si>
  <si>
    <t>AYBAR PUMA, ADELA</t>
  </si>
  <si>
    <t>QUISPE PEREZ, DAMIAN</t>
  </si>
  <si>
    <t>ALENDEZ TORRES, LIZ MARIELA</t>
  </si>
  <si>
    <t>QUISPE CHOQUE, LIZBETH</t>
  </si>
  <si>
    <t>AMABLE HUAMAN, SANTOS</t>
  </si>
  <si>
    <t>TAIPE SALAZAR, NILA</t>
  </si>
  <si>
    <t>RODRIGUEZ SALINAS, JUAN</t>
  </si>
  <si>
    <t>ZAPANA CORONADO, PATRICIA SUSY</t>
  </si>
  <si>
    <t>MORENO GALVEZ, ROSA BERTHA</t>
  </si>
  <si>
    <t>ATAUCUSI PALOMINO, ZENAIDA</t>
  </si>
  <si>
    <t>HUAMAN PICHIHUA, NESTOR</t>
  </si>
  <si>
    <t>LAYME BONIFACIO, FELIPE</t>
  </si>
  <si>
    <t>LAURENTE TINEO, DINA</t>
  </si>
  <si>
    <t>GALLEGOS TOLEDO, ROSA ALEJANDRINA</t>
  </si>
  <si>
    <t>TEODOCIA NIEVES, BAUTISTA</t>
  </si>
  <si>
    <t>TELLO VELAZQUE, ANDREA</t>
  </si>
  <si>
    <t>ORTIZ RODAS, SERAFINA</t>
  </si>
  <si>
    <t>ROJAS GONZALES, ARMANDINA</t>
  </si>
  <si>
    <t>YUTO DIAZ, DEMETRIO</t>
  </si>
  <si>
    <t>CCAHUARI MENDIZABAL, MARGARITA</t>
  </si>
  <si>
    <t>QUISPE ESLACHIN, TERESA</t>
  </si>
  <si>
    <t>CHAMBI DE PASTOR, AQUILINA</t>
  </si>
  <si>
    <t>ORTIZ DE HAUCCAICACHACC, ALBINA</t>
  </si>
  <si>
    <t>CANA GALVEZ, ANTONIA</t>
  </si>
  <si>
    <t>LLALLI CHIPANA, AURELIO</t>
  </si>
  <si>
    <t>QUISPE RAMIREZ, DANIEL</t>
  </si>
  <si>
    <t>BERROCAL MUJE, ENRIQUETA</t>
  </si>
  <si>
    <t>MUJE DE BERROCAL, CLUDIA</t>
  </si>
  <si>
    <t>GUILLEN JUNCO, AGUSTINA</t>
  </si>
  <si>
    <t>PICHIHUA HUAMAN, FREDY</t>
  </si>
  <si>
    <t>RODRIGUEZ CAPCHA, MARGOTH</t>
  </si>
  <si>
    <t>PUMA CCAHUANA, JACINTO</t>
  </si>
  <si>
    <t>CALLE QUISPE, SANTA CECILIA</t>
  </si>
  <si>
    <t>MEZARES HUAMAN, MARTHA</t>
  </si>
  <si>
    <t>CERON CORDOVA, LUZ NELLY</t>
  </si>
  <si>
    <t>CCAHUANA CCENTE, MARIA</t>
  </si>
  <si>
    <t>INFANZON CABEZAS, ROCIO PILAR</t>
  </si>
  <si>
    <t>TOMIÑO ALLCCA, CARMEN TERESA</t>
  </si>
  <si>
    <t>HUAYANA NAVELO, LUCIA</t>
  </si>
  <si>
    <t>TORRES ROSALES, CONCEPCION</t>
  </si>
  <si>
    <t>CCENTE OLARTE, CONCEPCION</t>
  </si>
  <si>
    <t>PEREZ MARIÑO, NIEVES</t>
  </si>
  <si>
    <t>CONTRERAS VENITES, MERY</t>
  </si>
  <si>
    <t>HUARCAYA ROJAS, VICTORIA</t>
  </si>
  <si>
    <t>GONZALES QUISPE, VICTOR DAVID</t>
  </si>
  <si>
    <t>YUTO PISCCO, CIRILO</t>
  </si>
  <si>
    <t>BORDA GALLEGOS, HERLINDAMARIA</t>
  </si>
  <si>
    <t>HUAYLLA QUISPE, OLGA</t>
  </si>
  <si>
    <t>LAUPA VELARDE, DELIA</t>
  </si>
  <si>
    <t>LIZUNDI BAUTISTA, FAUSTO</t>
  </si>
  <si>
    <t>AMABLE HUAMAN, NAZARIA NILDA</t>
  </si>
  <si>
    <t>FLORES HUACCAICACHACC, RUFINA</t>
  </si>
  <si>
    <t>OSORIO CORONADO, GLADIS PETRONILA</t>
  </si>
  <si>
    <t>TAIPE RODAS, MARIA</t>
  </si>
  <si>
    <t>VENTURA FIDENCIA, SALAZAR</t>
  </si>
  <si>
    <t>JARA MARIÑO, JILIANA</t>
  </si>
  <si>
    <t>MERINO ROJAS, PIO</t>
  </si>
  <si>
    <t>HUARACA POCCO, AMBERTO</t>
  </si>
  <si>
    <t>CHACHAYMA ALTAMIRANO, MERCEDES</t>
  </si>
  <si>
    <t>APARCO ANDRADA, LUCIA</t>
  </si>
  <si>
    <t>HUARCAYA ROJAS, BERTHA MERCEDES</t>
  </si>
  <si>
    <t>SILVERA CUSINGA, BASILIA</t>
  </si>
  <si>
    <t>YANAHUILCA ROJAS, ANTONIA</t>
  </si>
  <si>
    <t>CCENTE FERNANDEZ, LOURDES</t>
  </si>
  <si>
    <t>QUINTE FERNANDEZ, MARIA</t>
  </si>
  <si>
    <t>NAVARRO RIVAS, FELICITAS</t>
  </si>
  <si>
    <t>HUARACA SULLCAPUMA, ISABEL</t>
  </si>
  <si>
    <t>RODAS UTANI, NEISSER</t>
  </si>
  <si>
    <t>PERALTA AGUILAR, EDITH</t>
  </si>
  <si>
    <t>ANTAY HUAYHUAS, REMIGIO</t>
  </si>
  <si>
    <t>ANCA MITMA, CELIA</t>
  </si>
  <si>
    <t>AGUILAR CHIRCCA, NILVIA</t>
  </si>
  <si>
    <t>FARFAN VILLA, FELIX FERNANDO</t>
  </si>
  <si>
    <t>FARFAN VILLA, DELFIN</t>
  </si>
  <si>
    <t>ANDARAPA</t>
  </si>
  <si>
    <t>MEMENZA ALLCCA, ANASTASIO MAXIMO</t>
  </si>
  <si>
    <t>SALAS SOLIS, ESTEBAN</t>
  </si>
  <si>
    <t>RAMOS CURSO, ALEJANDRA</t>
  </si>
  <si>
    <t>CUARESMA LLACCHUA, REYNALDO</t>
  </si>
  <si>
    <t>AIQUIPA SIVIPAUCAR, JAIME ROQUE</t>
  </si>
  <si>
    <t>CHIRCCA MAÑUICO, ALICIA JOSEFINA</t>
  </si>
  <si>
    <t>CHIRCCA MAÑUICO, FILIO</t>
  </si>
  <si>
    <t>INFANZON LUDEÑA, MARIA</t>
  </si>
  <si>
    <t>SAQUI CHIRCCA, SARITA</t>
  </si>
  <si>
    <t>OSORIO CORONADO, YUDY</t>
  </si>
  <si>
    <t>ROMANI FLORES, NERY</t>
  </si>
  <si>
    <t>BOLAÑOS CORONADO, PERCY</t>
  </si>
  <si>
    <t>CCAHUANA ZAMORA, VLADIMIR</t>
  </si>
  <si>
    <t>QUISPE LLAHCUAS DE PARIONA, JUANA VICITACION</t>
  </si>
  <si>
    <t>HUASCO LLACCUARIMAY, FANI</t>
  </si>
  <si>
    <t>CARRASCO MORAN, TEODOLFO</t>
  </si>
  <si>
    <t>GODOY ROMERO, ALFREDO</t>
  </si>
  <si>
    <t>GUTIERREZ QUISPE, ROXANA</t>
  </si>
  <si>
    <t>PAREJA FLORES, YUDY</t>
  </si>
  <si>
    <t>VEGA HUARACA, AURELIO</t>
  </si>
  <si>
    <t>MANTILLA ARCE, ROSARIO</t>
  </si>
  <si>
    <t>MALLCCO HUARACA, ELIAS</t>
  </si>
  <si>
    <t>AIQUIPA SIVIPAUCAR, CLOTILDE</t>
  </si>
  <si>
    <t>MIRANDA ALHUAY, LUCIANO</t>
  </si>
  <si>
    <t>LOBATON RIVERA, JUANA ANATOLIA</t>
  </si>
  <si>
    <t>FLORES AIQUIPA, DIONISIO PASCUAL</t>
  </si>
  <si>
    <t>QUISPE ROJAS, LUCILA</t>
  </si>
  <si>
    <t>CAYO PALACIOS, JUAN JOSE</t>
  </si>
  <si>
    <t>AGUILAR CHIRCCA, RUDECINDS</t>
  </si>
  <si>
    <t>CUEVAS HUARACA, FELICITAS</t>
  </si>
  <si>
    <t>GUILLEN AVENDAÑO, ALEJANDRINA</t>
  </si>
  <si>
    <t>GUILLEN AVENDAÑO, CONSTANTINA</t>
  </si>
  <si>
    <t>OSCCO HUAMAN, SANTOS</t>
  </si>
  <si>
    <t>ESTRADA OSCCO, LUCIA</t>
  </si>
  <si>
    <t>SOTO HUAMAN, SUSANA</t>
  </si>
  <si>
    <t>NAVARRO FAUSTINA, MALLMA</t>
  </si>
  <si>
    <t>VARGAS CHOQUE, CIRILA</t>
  </si>
  <si>
    <t>BORDA LLANTOY, PABLO</t>
  </si>
  <si>
    <t>GUZMAN ACOSTA, LUZ CORINA</t>
  </si>
  <si>
    <t>HUILLCA MAMANI, FAUSTINO EMILIO</t>
  </si>
  <si>
    <t>MEZA ANTAY, BERTHA</t>
  </si>
  <si>
    <t>CHINCHERO MAMANI, VETO</t>
  </si>
  <si>
    <t>CURI QUISPE, CIRO</t>
  </si>
  <si>
    <t>URRUTIA BULEGE, MARIA PETRONILA</t>
  </si>
  <si>
    <t>AQUINO PARI, NICOLASA</t>
  </si>
  <si>
    <t>ROMERO UBAQUI, JULIA</t>
  </si>
  <si>
    <t>CARTOLIN INFANZON, JESUSA</t>
  </si>
  <si>
    <t>ROMERO MALLMA, SULMA</t>
  </si>
  <si>
    <t>BERROCAL CARRAZCO, SILVERIO</t>
  </si>
  <si>
    <t>BACILIO GUTIERREZ, CIRA LIDIA</t>
  </si>
  <si>
    <t>ROMERO UQUICHE, GUILLERMINA</t>
  </si>
  <si>
    <t>APARCO ROMERO, EDGAR</t>
  </si>
  <si>
    <t>CHAHUA CENTENO, ARISTIDES</t>
  </si>
  <si>
    <t>ASTUCHAO TAYPE, CARMELON</t>
  </si>
  <si>
    <t>QUISPE LEYVA, CRISANTO</t>
  </si>
  <si>
    <t>MESA PARIONA, LUCY</t>
  </si>
  <si>
    <t>SAUÑE PARIONA, CLAUDIA</t>
  </si>
  <si>
    <t>SOTAYA VARGAS, DORA</t>
  </si>
  <si>
    <t>CHIJCHEAPAZA COLLANQUI, FIDELIA</t>
  </si>
  <si>
    <t>CENTENO PARIONA, MARIBEL</t>
  </si>
  <si>
    <t>ARCOS HUAMANI, JULIANA</t>
  </si>
  <si>
    <t>HERBAS ALHUAY, LUZMILA</t>
  </si>
  <si>
    <t>SALAZAR DE LA CRUZ, ELOY</t>
  </si>
  <si>
    <t>HUASCO UTANI, JULIA</t>
  </si>
  <si>
    <t>HUAMAN UTANI, MATEO</t>
  </si>
  <si>
    <t>AUCCAPUMA HUARACA, ALEJANDRO</t>
  </si>
  <si>
    <t>UTANI QUISPE, VICTOR</t>
  </si>
  <si>
    <t>LEYVA APARCO, LOURDES</t>
  </si>
  <si>
    <t>AIQUIPA ÑAHUI, FABIO</t>
  </si>
  <si>
    <t>ROJAS VILLANO, EDGAR</t>
  </si>
  <si>
    <t>HUAYTARA LUNA, SONIA</t>
  </si>
  <si>
    <t>SANTE MORCCOLLA, VICTORIA</t>
  </si>
  <si>
    <t>VARGAS CONDORI, AGUSTIN</t>
  </si>
  <si>
    <t>ARENAS PONCECA, FLORA</t>
  </si>
  <si>
    <t>OSCCO NAVEROS, ZENAIDA</t>
  </si>
  <si>
    <t>DURAN FARFAN, CIRILA</t>
  </si>
  <si>
    <t>QUISPE ARCOS, VICTORIA</t>
  </si>
  <si>
    <t>PONCECA QUISPE, JUANA</t>
  </si>
  <si>
    <t>AVENDAÑO SILVERA, GREGORIO</t>
  </si>
  <si>
    <t>FARFAN CARRASCO, LUISA</t>
  </si>
  <si>
    <t>HUARACA VIVANCO, ROSALIO</t>
  </si>
  <si>
    <t>SAIZ CARRASCO, TEODOSIA</t>
  </si>
  <si>
    <t>MALLMA INFANZON, ZAIDA</t>
  </si>
  <si>
    <t>ACOSTA ARROYO, LEONCIO</t>
  </si>
  <si>
    <t>RAMIREZ CENTENO, ESPERANZA</t>
  </si>
  <si>
    <t>ÑAHUI DE AIQUIPA, PAULINA</t>
  </si>
  <si>
    <t>AYQUIPA ÑAHUI, ROSA BERTHA</t>
  </si>
  <si>
    <t>SALAZAR DE ARANGUENA, ISIDORA</t>
  </si>
  <si>
    <t>RIVAS PUGA, SIMEON</t>
  </si>
  <si>
    <t>RIVAS FELICIANO, HUAMANI</t>
  </si>
  <si>
    <t>CHIPANA TERESA, ALANYA</t>
  </si>
  <si>
    <t>ALARCON RIVERA, ELIZABETH</t>
  </si>
  <si>
    <t>TAYPE APARCO, ELSA</t>
  </si>
  <si>
    <t>QUISPE MALLMA, MAXIMILIANO</t>
  </si>
  <si>
    <t>HUAMAN QUISPE, RIGOBERTO</t>
  </si>
  <si>
    <t>CCACCYA AIQUIPA, VENTURANA</t>
  </si>
  <si>
    <t>DAMIAN DE LA CRUZ, VALERIANO</t>
  </si>
  <si>
    <t>HUASCO OLIVARES, ANTONIO</t>
  </si>
  <si>
    <t>SALAZAR VIVANCO, EULALIO</t>
  </si>
  <si>
    <t>HUASCO CCOICCA, MARCELINO</t>
  </si>
  <si>
    <t>ASCUE HUAMANI, GREGORIA</t>
  </si>
  <si>
    <t>HUASCO SOTAYA, SANTOSA</t>
  </si>
  <si>
    <t>GOMEZ MOSCOSO, YUBER</t>
  </si>
  <si>
    <t>QUISPE MALLMA, BARINIA</t>
  </si>
  <si>
    <t>ROMAN ROSALES, CLAUDIO</t>
  </si>
  <si>
    <t>HUARACA AIQUIPA, MARIO</t>
  </si>
  <si>
    <t>APARCO HUARACA, LEANDRO</t>
  </si>
  <si>
    <t>PEDRAZA VIVANCO, HIPOLITO</t>
  </si>
  <si>
    <t>QUISPE HUAMANI, CLAUDIO</t>
  </si>
  <si>
    <t>TAIPE RUIZ, ASUNCION</t>
  </si>
  <si>
    <t>CARTOLIN ARCCE, MANEL JESUS</t>
  </si>
  <si>
    <t>ALVAREZ DURAN, JUAN</t>
  </si>
  <si>
    <t>FLORES REYES, ESTEBAN ANTOLIN</t>
  </si>
  <si>
    <t>ALVIÑO FRANCO, PABLO</t>
  </si>
  <si>
    <t>NAVARRO QUISPE, FELICITAS</t>
  </si>
  <si>
    <t>CHIRCCA MATUTE, SAMUEL</t>
  </si>
  <si>
    <t>CCASA APARCO, PABLO</t>
  </si>
  <si>
    <t>MOLINA ZEVALLOS, JHOISE ROSARIO</t>
  </si>
  <si>
    <t>CARHUAZ CHUQUIMAYO, RAYMUNDO</t>
  </si>
  <si>
    <t>FRANCO LAURA, JUANA</t>
  </si>
  <si>
    <t>ALARCON CACERES, VIRGILIO</t>
  </si>
  <si>
    <t>VIVANCO CARDENAS, PEDRO ALEON</t>
  </si>
  <si>
    <t>OSORIO CORONADO, NANCY YOLANDA</t>
  </si>
  <si>
    <t>MAQUERA CATACHURA, ROSENDO</t>
  </si>
  <si>
    <t>CARRASCO GOMEZ, EMILIANA</t>
  </si>
  <si>
    <t>MENDOZA DE MIRANDA, NEMESIA</t>
  </si>
  <si>
    <t>PALOMINO DAMIANO, ANA MARIA</t>
  </si>
  <si>
    <t>COLACA SALCEDO, KETY</t>
  </si>
  <si>
    <t>HUAMAN VASQUEZ, JUAN MAURO</t>
  </si>
  <si>
    <t>PEÑA BAUTISTA, CLAUDIA</t>
  </si>
  <si>
    <t>AGUILA ALCARRAZ, CIPRIANA</t>
  </si>
  <si>
    <t>REYNAGA MOLERO, CAROLINA RUFINA</t>
  </si>
  <si>
    <t>OSCCO CHILINGANO, VICTOR</t>
  </si>
  <si>
    <t>MORENO QUISPE, MAYRA</t>
  </si>
  <si>
    <t>FUENTES VELASQUEZ, JUANA AGRIPINA</t>
  </si>
  <si>
    <t>TAIPE FRANCO, FRIDA</t>
  </si>
  <si>
    <t>ALEGRIA ARENAS, PAULINA</t>
  </si>
  <si>
    <t>QUINO MORENO, HERMINIA</t>
  </si>
  <si>
    <t>QUISPE CARRASCO, FRANCISCA</t>
  </si>
  <si>
    <t>CARDENAS AGUILAR, LAZARO</t>
  </si>
  <si>
    <t>MOSCOSO ALTAMIRANO, HILDA</t>
  </si>
  <si>
    <t>DAGA GAGO, PEDRO WILMER</t>
  </si>
  <si>
    <t>ALARCON LAUPA, FREDY</t>
  </si>
  <si>
    <t>YAURIS QUISPE, YNDULGIA</t>
  </si>
  <si>
    <t>OSCCO BULEJE, GREGORIO</t>
  </si>
  <si>
    <t>VILLA MEDINA, JUAN</t>
  </si>
  <si>
    <t>RODAS ENCISO, ISAAC</t>
  </si>
  <si>
    <t>CASTILLO TORRES, AUGUSTO JORGE</t>
  </si>
  <si>
    <t>ALLCCA PEREZ, JAYER</t>
  </si>
  <si>
    <t>PARIONA DE BARAZORDA, ASUNCION</t>
  </si>
  <si>
    <t>RODRIGUEZ CHAMPI, MARITZA</t>
  </si>
  <si>
    <t>CHOQUEMAQUI ESPINOZA, VICTORIA</t>
  </si>
  <si>
    <t>TALAVERANO ROJAS, DINA ADELA</t>
  </si>
  <si>
    <t>RIOS MERCADO, ORLANDO</t>
  </si>
  <si>
    <t>VASQUEZ PALOMINO, LUZMILA ROSARIO</t>
  </si>
  <si>
    <t>POZO GUEVARA, NICOLASA</t>
  </si>
  <si>
    <t>TALAVERA</t>
  </si>
  <si>
    <t>VARGAS GUTIERREZ, YENI VIOLETA</t>
  </si>
  <si>
    <t>LUDEÑA DE SOTO, MARTHINA</t>
  </si>
  <si>
    <t>MESARES VELAZQUES, DANETH</t>
  </si>
  <si>
    <t>INCA HUASHUAYO, CARMELA</t>
  </si>
  <si>
    <t>RIPA ORTIZ, CLIMACO</t>
  </si>
  <si>
    <t>ANDRADA CUEVAS, ANDRES</t>
  </si>
  <si>
    <t>ARONI GARFIAS, LORENZO</t>
  </si>
  <si>
    <t>MALPICA ECHEVARRIA, VICTOR JULIO</t>
  </si>
  <si>
    <t>VALDIVIA DE LLACCHUAS, BACILIA</t>
  </si>
  <si>
    <t>QUISPE SOLANO, IRENE</t>
  </si>
  <si>
    <t>MACOTE MALLMA, PAULINA</t>
  </si>
  <si>
    <t>PAZ ALTAMIRANO, WALTER ALBERTO</t>
  </si>
  <si>
    <t>SILVERA SALAZAR, MARCELINO</t>
  </si>
  <si>
    <t>GOMEZ OROSCO, FLORISA</t>
  </si>
  <si>
    <t>CCENTE SULLCAPUMA, HONORATA</t>
  </si>
  <si>
    <t>QUISPE AVENDAÑO, JULIA</t>
  </si>
  <si>
    <t>MITMA PUCA, MARINA</t>
  </si>
  <si>
    <t>HUARACA CONTRERAS, VIRGINIA</t>
  </si>
  <si>
    <t>MARIÑO  PALOMINO,  SONIA</t>
  </si>
  <si>
    <t>VERDE GENEBROZO, MARLENE</t>
  </si>
  <si>
    <t>HUARACA APARCO, GRACIELA</t>
  </si>
  <si>
    <t>AVENDAÑO TORRES, SABINO</t>
  </si>
  <si>
    <t>HUARACA POCCO, BERNABE</t>
  </si>
  <si>
    <t>HUARACA SUPANTA, FRANCISCO</t>
  </si>
  <si>
    <t>HUAMAN VILLANO, MARICIA</t>
  </si>
  <si>
    <t>HUAMAN PEREZ, JUANA HAYDEE</t>
  </si>
  <si>
    <t>MAUCAYLLE MALLQUI, SANTOSA</t>
  </si>
  <si>
    <t>HUASCO OLIVARES, AMALIA</t>
  </si>
  <si>
    <t>MERINO DE TAYPE, TEOFILA</t>
  </si>
  <si>
    <t>CHOCHOCA VEGA, FELIX</t>
  </si>
  <si>
    <t>ASCHO PEDRAZA, ELIZABETH</t>
  </si>
  <si>
    <t>ALHUAY QUISPE, RAUL</t>
  </si>
  <si>
    <t>QUISPE MOLINA, CIRILIA</t>
  </si>
  <si>
    <t>ARCOS FERNANDEZ, PATRICIA</t>
  </si>
  <si>
    <t>VARGAS ÑAHUI, JUAN</t>
  </si>
  <si>
    <t>ROMERO ASCUI, ASUNCION</t>
  </si>
  <si>
    <t>MORENO HUAMAN, NATIVIDAD</t>
  </si>
  <si>
    <t>PRADO HUAMAN, CESAR</t>
  </si>
  <si>
    <t>SAN JERONIMO</t>
  </si>
  <si>
    <t>YAUREZ GUILLEN, MIGUEL</t>
  </si>
  <si>
    <t>RIVAS HURTADO, RICARDO</t>
  </si>
  <si>
    <t>ATAY CARDENAS, VICTOR</t>
  </si>
  <si>
    <t>CASTILLO ALCCA, PAULINA</t>
  </si>
  <si>
    <t>GALINDO TORRES, ALCIDA JULIANA</t>
  </si>
  <si>
    <t>CCOICCA DE OLARTE, FELICIANA</t>
  </si>
  <si>
    <t>QUISPE ALTAMIRANO, YESENIA</t>
  </si>
  <si>
    <t>QUISPE VALER, SONIA</t>
  </si>
  <si>
    <t>FELIX OROSCO, GLADYS</t>
  </si>
  <si>
    <t>CARDENAS HERHUAY, MARTHA</t>
  </si>
  <si>
    <t>PALOMINO QUISPE, SABINO</t>
  </si>
  <si>
    <t>MUÑIZ VDA DE SUELDO, RAQUEL</t>
  </si>
  <si>
    <t>QUINO CCENTE, VICTOR</t>
  </si>
  <si>
    <t>LISARME ZUÑIGA, JANETH</t>
  </si>
  <si>
    <t>HUAMAN CENTENO, JULIO</t>
  </si>
  <si>
    <t>RINCON DE PALOMINO, VIRGINIA</t>
  </si>
  <si>
    <t>VASQUEZ MEZARES, ALICIA</t>
  </si>
  <si>
    <t>MENDOZA NIEVE, AIDE</t>
  </si>
  <si>
    <t>FLORES AYMARA, MARIA PLACIDA</t>
  </si>
  <si>
    <t>OMONTE RIVAS, MERI</t>
  </si>
  <si>
    <t>HUISA PAHUARA, YASMINI VERONICA</t>
  </si>
  <si>
    <t>PACHECO MORAN, YUDITH ERICA</t>
  </si>
  <si>
    <t>PEREZ HERHUAY, FILOMENA</t>
  </si>
  <si>
    <t>MEZA LARA, LUISA NECASIA</t>
  </si>
  <si>
    <t>YAURIS CENTENO, ANATOLIA</t>
  </si>
  <si>
    <t>ATAO MERINO, YENY</t>
  </si>
  <si>
    <t>AGUILAR QUISPE, JUANA</t>
  </si>
  <si>
    <t>ATAO QUISPE, TORIBIO</t>
  </si>
  <si>
    <t>QUISPE ROJAS, CLEMENSIA</t>
  </si>
  <si>
    <t>MOREL PALOMINO, DANIEL</t>
  </si>
  <si>
    <t>VARGAS MONDALGO, SEGUNDINO</t>
  </si>
  <si>
    <t>CARDENAS HUAMAN, LINO</t>
  </si>
  <si>
    <t>FLORES BAUTISTA, FABIO</t>
  </si>
  <si>
    <t>AIQUIPA DE PEREIRA, PRESENTACION</t>
  </si>
  <si>
    <t>VELASQUE QUISPE, ALEJANDRINA</t>
  </si>
  <si>
    <t>NAVARRO LOBATON, DIANA</t>
  </si>
  <si>
    <t>QUISPE LEGUIA, LOURDES</t>
  </si>
  <si>
    <t>VARGAS PALOMINO, CRISTINA</t>
  </si>
  <si>
    <t>PESE ARCOS, JUAN</t>
  </si>
  <si>
    <t>CUARESMA HURTADO, HESENIA</t>
  </si>
  <si>
    <t>ALARCON MESARES, YOVANA</t>
  </si>
  <si>
    <t>BUITRON ZARAGOSA, MERINO</t>
  </si>
  <si>
    <t>QUINTANA ATAO, TEODORA</t>
  </si>
  <si>
    <t>HUAMAN MAUCAYLLE, CECILIO</t>
  </si>
  <si>
    <t>HUAMAN MAUCAYLLE, MARIO</t>
  </si>
  <si>
    <t>ROBLES NUÑEZ, EVANGELINA</t>
  </si>
  <si>
    <t>HUAMAN MAUCAYLLE, EDGAR</t>
  </si>
  <si>
    <t>TITO PEDRAZA, FLAVIA</t>
  </si>
  <si>
    <t>VARGAS QUISPE, ELMER</t>
  </si>
  <si>
    <t>BECERRA ALTAMIRANO, VIRGILIO</t>
  </si>
  <si>
    <t>ROMAN BECERRA, SAMUEL</t>
  </si>
  <si>
    <t>HURTADO PALOMINO, OLGA</t>
  </si>
  <si>
    <t>QUINTANA HURTADO, LUCIA</t>
  </si>
  <si>
    <t>GARFIAS ALTAMIRANO, FILOMENA</t>
  </si>
  <si>
    <t>VELASQUE LUQUE, ASCENCIA</t>
  </si>
  <si>
    <t>LIMA FLORES, GREGORIA</t>
  </si>
  <si>
    <t>VIVANCO GUTIERREZ, TRINIDAD</t>
  </si>
  <si>
    <t>VIVANCO GUTIERREZ, VICENTE</t>
  </si>
  <si>
    <t>ECHEVARRIA CHUQUICHAMPI, FRANCISCO NARCISO</t>
  </si>
  <si>
    <t>MEDINA QUISPE, FABIO</t>
  </si>
  <si>
    <t>TITO ZUÑIGA, ROSMERI</t>
  </si>
  <si>
    <t>OSORIO CUARESMA, JULIA</t>
  </si>
  <si>
    <t>HUAMAN JUNCO, BACILIO</t>
  </si>
  <si>
    <t>MENDOZA CHOCCE, ESTHER</t>
  </si>
  <si>
    <t>GALINDO SILVERA, CARLOS</t>
  </si>
  <si>
    <t>PEDRAZA GARCIA, HERLINDA</t>
  </si>
  <si>
    <t>CHACHAYMA CCORAHUA, CERAFINA</t>
  </si>
  <si>
    <t>RIVAS LIZUNDI, LORENZO</t>
  </si>
  <si>
    <t>PALOMINO VILCHEZ, ANGELICA AYDEE</t>
  </si>
  <si>
    <t>ORTIZ VARGAS, JUAN</t>
  </si>
  <si>
    <t>PALOMINO HURTADO, MARILUZ</t>
  </si>
  <si>
    <t>CAMPOS CLAUDIO, CLOROFILA EDELMIRA</t>
  </si>
  <si>
    <t>MEJIA BOBADILLA, BENITO</t>
  </si>
  <si>
    <t>MEDINA QUISPE, LEONIDAS</t>
  </si>
  <si>
    <t>YUTO CASAFRANCA, ALICIA</t>
  </si>
  <si>
    <t>ORTIZ DIAZ, ZENOBIA</t>
  </si>
  <si>
    <t>PEREIRA HURTADO, EVA JACRISTH</t>
  </si>
  <si>
    <t>AYVAR PALOMINO, YOLANDA</t>
  </si>
  <si>
    <t>CARRION HUARANCCA, MARIA</t>
  </si>
  <si>
    <t>MERINO ORTIZ, DOMINGO</t>
  </si>
  <si>
    <t>NUÑEZ ANDIA, JUAN</t>
  </si>
  <si>
    <t>QUITO CHACHAYMA, ISABEL</t>
  </si>
  <si>
    <t>ARANDIA GALINDO, HANS ROMEL</t>
  </si>
  <si>
    <t>PUGA CHACHAYMA, NOCOLAS</t>
  </si>
  <si>
    <t>PUGA DE PUMA, VIRGINIA SANTOSA</t>
  </si>
  <si>
    <t>VIVANCO NAVEROS, MAXIMO</t>
  </si>
  <si>
    <t>TORRES CCORAHUA, HUGO</t>
  </si>
  <si>
    <t>CARRION AGUILAR, MAXIMO</t>
  </si>
  <si>
    <t>ORIUELA RIVAS, CIRILA</t>
  </si>
  <si>
    <t>MEJICO COTERA, ZOZIMO</t>
  </si>
  <si>
    <t>ALARCON HURTADO, ETELVINA</t>
  </si>
  <si>
    <t>QUISPE AGUILAR, RUFINA</t>
  </si>
  <si>
    <t>TORRES PAHUARA, CLOTILDE</t>
  </si>
  <si>
    <t>BENITES MORENO, MAXIMO</t>
  </si>
  <si>
    <t>BENITES TAPASCO, EDITH</t>
  </si>
  <si>
    <t>PUMALLANQUI CUEBAS, VIDAL</t>
  </si>
  <si>
    <t>OSCCORIMA ARONI, JULIA</t>
  </si>
  <si>
    <t>CARDENAS CESPEDES, PAULINO</t>
  </si>
  <si>
    <t>PASTOR RIVAS, ROBERTO</t>
  </si>
  <si>
    <t>HUAMAN ORTIZ, JULIO</t>
  </si>
  <si>
    <t>ABOLLANEDA CENTENO, JOSE</t>
  </si>
  <si>
    <t>RIVAS ESTAÑIZ, DAVID</t>
  </si>
  <si>
    <t>VILCHEZ CARRION, CARLOS</t>
  </si>
  <si>
    <t>LEZUNDE LIMA, ALEJANDRINA</t>
  </si>
  <si>
    <t>ALCARRAZ PALOMINO, GREGORIA</t>
  </si>
  <si>
    <t>URRUTIA ANDIA, MARINA</t>
  </si>
  <si>
    <t>MEDINA DE CARRION, ELENA</t>
  </si>
  <si>
    <t>ABOLLANEDA CARRION, GUMERCINDA</t>
  </si>
  <si>
    <t>AMAO HUAMAN, LEOCADIA</t>
  </si>
  <si>
    <t>RIVAS VIGURIA, MILQUEADES</t>
  </si>
  <si>
    <t>CLEMENTE HERENCIA, SOLEDAD YOLANDA</t>
  </si>
  <si>
    <t>GASPAR AYCCAHUAMAN, ALEJANDRINA</t>
  </si>
  <si>
    <t>GUIZADO CONDOR, YSABEL</t>
  </si>
  <si>
    <t>ALTAMIRANO ALDAZABAL, SHARON</t>
  </si>
  <si>
    <t>VELASQUE DE NOLASCO, UBALDINA</t>
  </si>
  <si>
    <t>HURTADO PALOMINO, DARIA</t>
  </si>
  <si>
    <t>PALOMINO DE HURTADO, MARCELINA</t>
  </si>
  <si>
    <t>PALOMINO CCORAHUA, HERMELINDA</t>
  </si>
  <si>
    <t>ATAO DAMIANO, WALTER</t>
  </si>
  <si>
    <t>RODRIGUEZ AROHUILLCA, MARICELA</t>
  </si>
  <si>
    <t>VELASQUE OLARTE, HUMBERTO</t>
  </si>
  <si>
    <t>ALTAMIRANO VIVANCO, PRUDENCIA</t>
  </si>
  <si>
    <t>ROJAS QUISPE, GENOVEVO</t>
  </si>
  <si>
    <t>HUAMAN VASQUEZ, LOURDES</t>
  </si>
  <si>
    <t>ORTIZ DIAS, ROSA</t>
  </si>
  <si>
    <t>VELASQUE JUAREZ, SILVIA ALICIA</t>
  </si>
  <si>
    <t>VILCHEZ CARRION, YUDY</t>
  </si>
  <si>
    <t>ALARCON MARTINEZ, FELIX</t>
  </si>
  <si>
    <t>OSCCO INCA, ENRIQUE</t>
  </si>
  <si>
    <t>CCORIMANYA SOPANTA, VIRGINIA</t>
  </si>
  <si>
    <t>JUAREZ PALOMINO, ALEJANDRO</t>
  </si>
  <si>
    <t>CARRION ORIHUELA, EMERSON</t>
  </si>
  <si>
    <t>ORIHUELA BARRIENTOS, LEONIDAS</t>
  </si>
  <si>
    <t>TORRES PEREZ, GUILLERMO</t>
  </si>
  <si>
    <t>VARGAS BAUTISTA, JESUS</t>
  </si>
  <si>
    <t>ORTIZ DE OTERO, CECILIA</t>
  </si>
  <si>
    <t>TORRES CALDERON, JUANA</t>
  </si>
  <si>
    <t>AMAO PICHIHUA, ALEJANDRO</t>
  </si>
  <si>
    <t>OTERO ORTIZ, ALEJANDRO</t>
  </si>
  <si>
    <t>OTERO ORTIZ, MARINA</t>
  </si>
  <si>
    <t>JAUREGUI JERI, JOVITA</t>
  </si>
  <si>
    <t>CCORIMANYA VARGAS, VICTORIA</t>
  </si>
  <si>
    <t>MARINO MAUCAYLLE, JUANA INES</t>
  </si>
  <si>
    <t>JUARES CARRION, ALFONSO</t>
  </si>
  <si>
    <t>CARRION OLARTE, ANGEL</t>
  </si>
  <si>
    <t>YAURIS LIMA, PAULINA</t>
  </si>
  <si>
    <t>FLORES VIGURIA, HERLINDA</t>
  </si>
  <si>
    <t>LIZARME LOAYZA, NORMA</t>
  </si>
  <si>
    <t>ROMAN HUARACA, YENY</t>
  </si>
  <si>
    <t>MARURI TTITO, JULIAN</t>
  </si>
  <si>
    <t>ARONI HUAMANI, FORTUNATO</t>
  </si>
  <si>
    <t>VELASQUE QUISPE, CRISTINA</t>
  </si>
  <si>
    <t>OSCCO QUISPE, JESUS</t>
  </si>
  <si>
    <t>OLIVERA NAVEROS, RENEE</t>
  </si>
  <si>
    <t>QUISPE OLIVARES, TERESA</t>
  </si>
  <si>
    <t>QUINTANA DE AVELLANEDA, MARIA NATIVIDAD</t>
  </si>
  <si>
    <t>GALINDO SILVERA, FLORENTINA</t>
  </si>
  <si>
    <t>YAURIS HUAYTA, MILUSKA IRAIDA</t>
  </si>
  <si>
    <t>BEJAR LANDEO, JUAN</t>
  </si>
  <si>
    <t>SANCHEZ LEGUIA, DONATILA</t>
  </si>
  <si>
    <t>LA TORRE REYES, EUSEBIO</t>
  </si>
  <si>
    <t>IBAÑES ESCALANTE, GERALDINE</t>
  </si>
  <si>
    <t>MEDINA MESA, LEONOR</t>
  </si>
  <si>
    <t>SANCHEZ MARTINEZ, ROSA</t>
  </si>
  <si>
    <t>FARFAN RODAS, FELICITAS</t>
  </si>
  <si>
    <t>MARIÑO GONZALES, NERY</t>
  </si>
  <si>
    <t>OSCCO LAPA, MARLENY</t>
  </si>
  <si>
    <t>FLORES GALINDO, JUSTINA</t>
  </si>
  <si>
    <t>PUGA CHACHAIMA, VIDALINA</t>
  </si>
  <si>
    <t>LAUPA GUZMAN VIUDA DE MERINO, MARCELINA</t>
  </si>
  <si>
    <t>VIVANCO QUINTANA, FIDELIA</t>
  </si>
  <si>
    <t>PACHECO BAUTISTA, NELLY</t>
  </si>
  <si>
    <t>PAHUARA ROMAN, DELIA</t>
  </si>
  <si>
    <t>ATAO LEANDRES, JHON</t>
  </si>
  <si>
    <t>VARGAS TITO, YANET</t>
  </si>
  <si>
    <t>TITO RODRIGUEZ, SANTOSA JULIA</t>
  </si>
  <si>
    <t>OSORIO VDA DE MOLERO, MARGARITA</t>
  </si>
  <si>
    <t>SANCHEZ ZUÑIGA, CIRO</t>
  </si>
  <si>
    <t>ALTAMIRANO LIMA, REYNALDO</t>
  </si>
  <si>
    <t>PACHECO HUAMAN, VICTOR</t>
  </si>
  <si>
    <t>TAYPE MONDALGO, GRICELDA</t>
  </si>
  <si>
    <t>VEGA DIAZ, MARY</t>
  </si>
  <si>
    <t>GUZMAN PALOMINO, CAYETANO</t>
  </si>
  <si>
    <t>GARFIAS NAVEROS, YOLANDA</t>
  </si>
  <si>
    <t>CHILINGANO RODRIGUEZ, EPIFANIO</t>
  </si>
  <si>
    <t>GUZMAN LIGARDA, JUAN</t>
  </si>
  <si>
    <t>PALOMINO DE FLORES, MERCEDES</t>
  </si>
  <si>
    <t>PALOMINO SIANCAS, RICARDINA</t>
  </si>
  <si>
    <t>FLORES DE MEDINA, INOSENCIA</t>
  </si>
  <si>
    <t>OLARTE LAUPA, ALEJANDRO</t>
  </si>
  <si>
    <t>VIGURIA MARTINEZ, EUSEBIO</t>
  </si>
  <si>
    <t>RIVAS VASQUEZ, FORTUNATA</t>
  </si>
  <si>
    <t>DIAZ SAMANEZ, ELIZABETH</t>
  </si>
  <si>
    <t>ACHAYCA ARROYO, SATURNINA</t>
  </si>
  <si>
    <t>ALTAMIRANO ALDAZABAL, CAROLINA</t>
  </si>
  <si>
    <t>TORREN DE CASTILLO, MARINA</t>
  </si>
  <si>
    <t>QUEVEDO PERALES, CESAR</t>
  </si>
  <si>
    <t>LOA QUISPE, GLADYS</t>
  </si>
  <si>
    <t>AROHUILCA HUAMAN, ALICIA</t>
  </si>
  <si>
    <t>SAMANEZ GUILLEN, TEODOSIA</t>
  </si>
  <si>
    <t>AROHUILLCA HUAMAN, AMERICO GUSTAVO</t>
  </si>
  <si>
    <t>BULEJE YAUCCARIMAY, ERNESTINA</t>
  </si>
  <si>
    <t>HUAMAN DE ORTIZ, LOURDES</t>
  </si>
  <si>
    <t>VARGAS LEGUIA, FLORENTINA</t>
  </si>
  <si>
    <t>PAUCAR SUPANTA, LEONCINA</t>
  </si>
  <si>
    <t>GUTIERREZ UVAQUI, OLGA</t>
  </si>
  <si>
    <t>DAMIANO HUAMAN, HECTOR</t>
  </si>
  <si>
    <t>CASAFRANCA MONTOYA, JULIO</t>
  </si>
  <si>
    <t>CHIQUILLAN ORTIZ, FERMIN</t>
  </si>
  <si>
    <t>BECERRA VELASQUE, YUDIHT</t>
  </si>
  <si>
    <t>TELLLO LEGUIA, MARIANO SANTOS</t>
  </si>
  <si>
    <t>ROJAS HUAMAN, VICTOR</t>
  </si>
  <si>
    <t>VASQUEZ LUDEÑA, PUALINA</t>
  </si>
  <si>
    <t>ORTEGA HUAMAN, HIPOLITO</t>
  </si>
  <si>
    <t>GODOY DE ALTAMIRANO, ANATOLIA</t>
  </si>
  <si>
    <t>ATAO PALOMINO, MAURO</t>
  </si>
  <si>
    <t>CARRION CAVERO, SEFERINA</t>
  </si>
  <si>
    <t>GALVAN MEZARES, ANTONIO</t>
  </si>
  <si>
    <t>GALINDO ZUÑIGA, PEDRO</t>
  </si>
  <si>
    <t>VILLEGAS SILVERA, VICTOR</t>
  </si>
  <si>
    <t>VILLEGAS DE FRANCO, TIBURCIA</t>
  </si>
  <si>
    <t>SILVERA CAVERO, OSWALDO</t>
  </si>
  <si>
    <t>ALTAMIRANO ATAO, VALENTINA</t>
  </si>
  <si>
    <t>CARBAJAL ORTIZ, ABERTINA</t>
  </si>
  <si>
    <t>GUILLEN CHACHAYMA, ANTONIO</t>
  </si>
  <si>
    <t>TOMAILLA QUISPE, JACINTO</t>
  </si>
  <si>
    <t>LEGUIA MENDOZA, DALMIRO</t>
  </si>
  <si>
    <t>LINO VARGAS, ENSISO</t>
  </si>
  <si>
    <t>CCORISONCCO ALLCCA, MARCIAL</t>
  </si>
  <si>
    <t>SOTO DE HUASCO, ABELINA</t>
  </si>
  <si>
    <t>LIZARME CORDOVA, MARISOL</t>
  </si>
  <si>
    <t>CARRASCO SURCO, ROCIO MARIBEL</t>
  </si>
  <si>
    <t>VILCAS PUGA, NAIDA</t>
  </si>
  <si>
    <t>PAUCCAR CONTRERAS, NICOLAS</t>
  </si>
  <si>
    <t>CORDOVA VARGAS, GREGORIA</t>
  </si>
  <si>
    <t>LOPEZ RODRIGUEZ, MARLENY</t>
  </si>
  <si>
    <t>LLOCCLLA HUAMAN, LOURDES</t>
  </si>
  <si>
    <t>MARCAS PEDRAZA, ADELA</t>
  </si>
  <si>
    <t>GUTIERREZ CAMPOS, HERLINDA</t>
  </si>
  <si>
    <t>ANCCO AQUISE, BERNABE</t>
  </si>
  <si>
    <t>GRANADOS MARTINEZ, EUGENIA MARIA</t>
  </si>
  <si>
    <t>PALOMINO CENTENO, HUMBERTO</t>
  </si>
  <si>
    <t>ESPINOZA GAMBOA, JUAN</t>
  </si>
  <si>
    <t>AUQUIRIMA DE MOSO, LUCILA</t>
  </si>
  <si>
    <t>VILLANO ALARCON, TERESA</t>
  </si>
  <si>
    <t>ZEBALLOS ANDIA, GRACILDA SOLEDAD</t>
  </si>
  <si>
    <t>SAYAGO PEREZ, FLORECITA</t>
  </si>
  <si>
    <t>GUIZADO VARGAS, WALTER</t>
  </si>
  <si>
    <t>PACHECO CCORAHUA, ZENAIDA</t>
  </si>
  <si>
    <t>GUTIERREZ ANDIA, LINDA MARGOT</t>
  </si>
  <si>
    <t>LUDEÑA GAMBOA, DEMETRIO</t>
  </si>
  <si>
    <t>GUZMAN ALTAMIRANO, HERMELINDA</t>
  </si>
  <si>
    <t>GUTIERREZ SALAZAR, BRIGIDA</t>
  </si>
  <si>
    <t>OBREGON ANDIA, LEONARDO</t>
  </si>
  <si>
    <t>FLORES CARDENAS, RICARDO</t>
  </si>
  <si>
    <t>GUTIERREZ CAMPOS, SIMON</t>
  </si>
  <si>
    <t>SAYAGO DE URTIA, ALVINA</t>
  </si>
  <si>
    <t>SALAZAR MARIÑO, MARINA</t>
  </si>
  <si>
    <t>GREGORIO BREAS, MENDI</t>
  </si>
  <si>
    <t>SAYAGO FLORES, SOFIA</t>
  </si>
  <si>
    <t>SAYAGO HUARI, ELIZABETH</t>
  </si>
  <si>
    <t>ORTEGA VARGAS, SOFIA</t>
  </si>
  <si>
    <t>CACERES ANDIA, NEMECIO</t>
  </si>
  <si>
    <t>CACERES DE CASTILLO, BEATRIZ</t>
  </si>
  <si>
    <t>PARDO FARFAN, CRISTINA</t>
  </si>
  <si>
    <t>CAMPOS DE SALAZAR, TEODORA</t>
  </si>
  <si>
    <t>FLORES OBREGON, JOSEFA</t>
  </si>
  <si>
    <t>ORTIZ QUINTANA, JUSTO</t>
  </si>
  <si>
    <t>GALVAN CARDENAS, FLORENTINA</t>
  </si>
  <si>
    <t>NAVARRO SANCHEZ, REBECA</t>
  </si>
  <si>
    <t>BULEJE CAMPOS, MAURO AMILCAR</t>
  </si>
  <si>
    <t>CHAVEZ ARONI, JUANITA</t>
  </si>
  <si>
    <t>ORTEGA DE CARDENAS, FLORA</t>
  </si>
  <si>
    <t>PALOMINO DE PECEROS, FELIPA</t>
  </si>
  <si>
    <t>ANDREUN LOA, JULIA</t>
  </si>
  <si>
    <t>CAMPOS ORTEGA, RICARDO</t>
  </si>
  <si>
    <t>CAMPOS LAGO, GREGORIO</t>
  </si>
  <si>
    <t>FARFAN VIVANCO, MARIA</t>
  </si>
  <si>
    <t>ALCARRAZ ORTEGA, CERAFINA</t>
  </si>
  <si>
    <t>ZUÑIGA CALDERON, BRIGIDA</t>
  </si>
  <si>
    <t>SILEVRA ALARCON, SIMEON</t>
  </si>
  <si>
    <t>PALOMINO CHAVEZ, NATIVIDAD</t>
  </si>
  <si>
    <t>CHIPANA QUISPE, YSIDORA</t>
  </si>
  <si>
    <t>SARZO MARIÑO, GERARDINA</t>
  </si>
  <si>
    <t>ORTIZ QUIZADO, PABLO</t>
  </si>
  <si>
    <t>GUIZADO ORTIZ, ANTONIA</t>
  </si>
  <si>
    <t>BULEJE MOSCOSO, MAURO</t>
  </si>
  <si>
    <t>ALCARRAZ GUIA, LUZMILA HILDA</t>
  </si>
  <si>
    <t>ZARABIA BALBOA, MARIA</t>
  </si>
  <si>
    <t>ALARCON DE CASAS, ARMANDINA</t>
  </si>
  <si>
    <t>HUAMAN CHIPANA, MARGOTA</t>
  </si>
  <si>
    <t>SILVERA QUINTANILLA, FRANCISCO REINALDO</t>
  </si>
  <si>
    <t>ALARCON SERNA, GRICELDA</t>
  </si>
  <si>
    <t>PECEROS MENDOZA, ROSA</t>
  </si>
  <si>
    <t>CASTILLO QUINTANA, TEDI ALBERTO</t>
  </si>
  <si>
    <t>MARIÑO FLORES, FRANCISCO</t>
  </si>
  <si>
    <t>SEGURA GUTIERREZ, MANUEL</t>
  </si>
  <si>
    <t>SERNA HUERTA, BRAYAN KENY</t>
  </si>
  <si>
    <t>CHAVEZ HUAMAN, IRENE</t>
  </si>
  <si>
    <t>GUERREROS  DE NAVEROS, INES</t>
  </si>
  <si>
    <t>PALOMINO MIRANDA, RAUL</t>
  </si>
  <si>
    <t>GUIA ALARCON, MARIANELA</t>
  </si>
  <si>
    <t>CONDOR CORDOVA, YONI</t>
  </si>
  <si>
    <t>TELLO VDA DE CORDOVA, ANATOLIA</t>
  </si>
  <si>
    <t>NAVARRO QUISPE, SARA</t>
  </si>
  <si>
    <t>ALFARO APARCO, DONATILA</t>
  </si>
  <si>
    <t>ALCARRAZ QUINTANA, RICARDO</t>
  </si>
  <si>
    <t>GRANADOS VARGAS, RUTH</t>
  </si>
  <si>
    <t>VARGAS LOAIZA, JAVIER</t>
  </si>
  <si>
    <t>ORTIZ ALCARRAZ, ZEIDA</t>
  </si>
  <si>
    <t>BULEJE ORTIZ, MARIO</t>
  </si>
  <si>
    <t>SALAZAR URRUTIA, EULOGIO</t>
  </si>
  <si>
    <t>GALINDO LLANTOY, ANA MELBA</t>
  </si>
  <si>
    <t>SERNA ORTEGA, FLORA</t>
  </si>
  <si>
    <t>CORDOVA CABEZAS, ISABEL</t>
  </si>
  <si>
    <t>RAMIREZ RAMIREZ, CLAUDIA</t>
  </si>
  <si>
    <t>ALTAMIRANO VASQUEZ, EPIFANIA</t>
  </si>
  <si>
    <t>CHIPA BATALLANOS, ROSA</t>
  </si>
  <si>
    <t>LLOCCLLA GUZMAN, CLARISA</t>
  </si>
  <si>
    <t>GOMEZ VENEGAS, AGUSTIN</t>
  </si>
  <si>
    <t>CORDOVA GONZALES, DINA</t>
  </si>
  <si>
    <t>LOBATON SALAZAR, SERAPIO</t>
  </si>
  <si>
    <t>MUJE DE HUAMANI, MARIA</t>
  </si>
  <si>
    <t>CORDOVA DE TORRES, AGRIPINA</t>
  </si>
  <si>
    <t>BERROCAL ORTIZ, MARCELINO</t>
  </si>
  <si>
    <t>ANDIA BERROCAL, JUAN</t>
  </si>
  <si>
    <t>ORTIZ GUIZADO, TEOFILO</t>
  </si>
  <si>
    <t>MARTINEZ ANDIA, ANTONIO</t>
  </si>
  <si>
    <t>GALINDO PALOMINO, ROQUE</t>
  </si>
  <si>
    <t>QUISPE DE LEGUIA, DIONICIA</t>
  </si>
  <si>
    <t>MORALES DE CONTRERAS, CLEOFE</t>
  </si>
  <si>
    <t>ALARCON GUILLEN, CIRILO</t>
  </si>
  <si>
    <t>GOMEZ DE LOZANO, VICTORIA</t>
  </si>
  <si>
    <t>CABEZAS MAYHUA, DIONISIA ROSA</t>
  </si>
  <si>
    <t>CARDENAS CARTOLIN, PAULINA</t>
  </si>
  <si>
    <t>HURTADO VELASQUE, ADELA NAZARIA</t>
  </si>
  <si>
    <t>CACERES ALCARRAZ, JOSE LUIS</t>
  </si>
  <si>
    <t>CARDENAS PEREZ, ALICIA</t>
  </si>
  <si>
    <t>NAVORRO POSTOR, MODESTA</t>
  </si>
  <si>
    <t>GUZMAN CAÑARI, ALEJANDRO</t>
  </si>
  <si>
    <t>ROMERO TOLEDO, CAMILO</t>
  </si>
  <si>
    <t>BERLINA COLACA, SALCEDO</t>
  </si>
  <si>
    <t>PALOMINO ALARCON, GRIMALDO</t>
  </si>
  <si>
    <t>APARCO BERROCAL, AUSBBERTO</t>
  </si>
  <si>
    <t>PAMPAS PAMPAS, FRANCISCO</t>
  </si>
  <si>
    <t>GIRALDO GAMBOA DE ALARCON, VICTORIA</t>
  </si>
  <si>
    <t>RIVERA LOVATON, LEORNARDO</t>
  </si>
  <si>
    <t>ZEVALLOS PALOMINO, EPIFANIA</t>
  </si>
  <si>
    <t>NAVARRO PILLACA, MARCELINA</t>
  </si>
  <si>
    <t>VASQUEZ PALOMINO, MERCEDES</t>
  </si>
  <si>
    <t>HURTADO GUIA, SANTIAGO</t>
  </si>
  <si>
    <t>HUAMAN ARENAS, ROBERTO</t>
  </si>
  <si>
    <t>SOTO LUDEÑA, SONIA</t>
  </si>
  <si>
    <t>RODRIGO GONZALES, LORENZA GLORIA</t>
  </si>
  <si>
    <t>FUNDIS RIVAS, FORTUNATA</t>
  </si>
  <si>
    <t>ANDIA GUISADO, CIRILA</t>
  </si>
  <si>
    <t>PACHECO POCCOTAY, SUSUNA</t>
  </si>
  <si>
    <t>MERTINEZ CARDENAS, EPIFANIA</t>
  </si>
  <si>
    <t>BERROCAL TORRES, FELICITAS</t>
  </si>
  <si>
    <t>TELLO ORTEGA, EUSTERGIO</t>
  </si>
  <si>
    <t>ORTIZ CEVALLOS, OCTAVIO</t>
  </si>
  <si>
    <t>ALCARRAZ CONTRERAS, JUAN CARLOS</t>
  </si>
  <si>
    <t>VARGAS CASTILLO, LUIS SEGUNDO</t>
  </si>
  <si>
    <t>GUTIERREZ GUIZADO, CIRILA</t>
  </si>
  <si>
    <t>CHICLLA GUTIERREZ, NILDA</t>
  </si>
  <si>
    <t>TALAVERANO OLARTEGU, RAQUEL</t>
  </si>
  <si>
    <t>GUTIERREZ CCACHAYHUA, SONILDA</t>
  </si>
  <si>
    <t>LOA CCAHUANA, DELFINA</t>
  </si>
  <si>
    <t>SALLANI GUTIERREZ, EMILIA</t>
  </si>
  <si>
    <t>ALCARRAZ CORDOVA, GUMERCINDO</t>
  </si>
  <si>
    <t>VARGAS LAOIZA, PABLO</t>
  </si>
  <si>
    <t>SULCA PALOMINO, VICTOR</t>
  </si>
  <si>
    <t>ALCARRAZ HURTADO, RENE MARLENI</t>
  </si>
  <si>
    <t>SAYAGO MARIÑO, JUAN CARLOS</t>
  </si>
  <si>
    <t>ALARCON LAURENTE, GENOVEVA</t>
  </si>
  <si>
    <t>HUARCAYA GUIZADO, JULIA</t>
  </si>
  <si>
    <t>CARRION LAURA, MARUJA</t>
  </si>
  <si>
    <t>ALCARRAZ LLOCCLLA, YESSICA</t>
  </si>
  <si>
    <t>PALOMINO MENDOZA, JORGE</t>
  </si>
  <si>
    <t>PALOMINO VARGAS, MARCELO</t>
  </si>
  <si>
    <t>GUTIERREZ ALARCON, YLDA</t>
  </si>
  <si>
    <t>ALARCON FERNANDEZ, ANABEL</t>
  </si>
  <si>
    <t>VELASQUE ARHUILLCA, MARIANO</t>
  </si>
  <si>
    <t>ALFARO APARCO, YOLANDA</t>
  </si>
  <si>
    <t>ZEVALLOS MENDOZA, LOURDES SALOME</t>
  </si>
  <si>
    <t>HURTADO AYALA, VIRGINIA</t>
  </si>
  <si>
    <t>ALARCON RIVAS, SULPICIO</t>
  </si>
  <si>
    <t>HURTADO ORTEGA, EPIFANIA</t>
  </si>
  <si>
    <t>PLACIDA YANAHUAMAN, LAURA</t>
  </si>
  <si>
    <t>CONTRERAS ORTEGA, NANCY MARILY</t>
  </si>
  <si>
    <t>AGUILA ALARCON, PABLO JACINTO</t>
  </si>
  <si>
    <t>SALAS ARIAS, SARITA</t>
  </si>
  <si>
    <t>SOTO CHAVES, HERMELINDA</t>
  </si>
  <si>
    <t>HUAMAN AQUISE, LEONIDAS</t>
  </si>
  <si>
    <t>PEDRAZA PARIONA, LOURDES</t>
  </si>
  <si>
    <t>ORTIZ PALOMINO, VICTORIA</t>
  </si>
  <si>
    <t>SERNA RIVERA, APOLINARIA</t>
  </si>
  <si>
    <t>HURTADO GONZALES, ZENAIDA</t>
  </si>
  <si>
    <t>ARENAS DE CARDENAS, CELIA</t>
  </si>
  <si>
    <t>ORTEGA CONTRERAS, TERESA</t>
  </si>
  <si>
    <t>ROMERO AYQUIPA, DOLORES</t>
  </si>
  <si>
    <t>AIQUIPA DE ROMERO, ISABEL</t>
  </si>
  <si>
    <t>AGUILA SERNA, SEIDA</t>
  </si>
  <si>
    <t>BULEJE POLANCO, EDGAR</t>
  </si>
  <si>
    <t>PEREZ POLANCO, FORTUNATO</t>
  </si>
  <si>
    <t>CARDENAS ARENAS, SONIA</t>
  </si>
  <si>
    <t>POLANCO DE BULEJE, FELICIA</t>
  </si>
  <si>
    <t>HUAMAN DE HUAMAN, VICTORIA</t>
  </si>
  <si>
    <t>MENDOZA ORTEGA, JULIAN</t>
  </si>
  <si>
    <t>BULEJE POLANCO, LEONCIO</t>
  </si>
  <si>
    <t>CHIPANA PEREZ, MARCELINA</t>
  </si>
  <si>
    <t>PEREZ REA, EPIFANIA</t>
  </si>
  <si>
    <t>GONZALES ORTEGA, MAURA</t>
  </si>
  <si>
    <t>ROMERO ANDIA, SULMA</t>
  </si>
  <si>
    <t>CARTOLIN GUTIERREZ, JORGE</t>
  </si>
  <si>
    <t>SILVERA BULEJE, ELOY ANGEL</t>
  </si>
  <si>
    <t>AYESTA ZAMORA, YNES</t>
  </si>
  <si>
    <t>GUISADO NAVEROS, MARIA</t>
  </si>
  <si>
    <t>FLORES PORTILLO, DALMIRO</t>
  </si>
  <si>
    <t>AZURIN MARIÑO, ANTONIA</t>
  </si>
  <si>
    <t>PEREZ ALARCON, ADELA</t>
  </si>
  <si>
    <t>GONZALES LOBATON, GLICERIO</t>
  </si>
  <si>
    <t>CORDOVA PALOMINO DE HUAMANI, JULIA</t>
  </si>
  <si>
    <t>LAGO RAMOS, ARISTIDES</t>
  </si>
  <si>
    <t>ALTAMIRANO VASQUEZ, TEODOCIA</t>
  </si>
  <si>
    <t>CACERES ZEVALLOS, GLORIA</t>
  </si>
  <si>
    <t>CACERES ZEVALLOS, ALEJANDRO</t>
  </si>
  <si>
    <t>RAMOS PALOMINO, FLORENCIO</t>
  </si>
  <si>
    <t>CENTENO ROJAS, LINO</t>
  </si>
  <si>
    <t>RAMOS CACERES, MARIO</t>
  </si>
  <si>
    <t>FUENTES NAVARRO, IRMA</t>
  </si>
  <si>
    <t>PALOMINO CACERES, FELIX</t>
  </si>
  <si>
    <t>FLORES JUNCO, JUAN</t>
  </si>
  <si>
    <t>GUIA RODAS, ANDRES</t>
  </si>
  <si>
    <t>LOA BULEJE, CARMEN ROSA</t>
  </si>
  <si>
    <t>AULLA QUISPE, DANIEL</t>
  </si>
  <si>
    <t>AGUILA SILVERA, DINA</t>
  </si>
  <si>
    <t>BULEJE GUIA, PEDRO</t>
  </si>
  <si>
    <t>AGUILA MENDOZA, DIONICIA</t>
  </si>
  <si>
    <t>MARQUINA MENDOZA, ANDRES CORNISO</t>
  </si>
  <si>
    <t>YAURES TRABO, JESUS ALEJANDRO</t>
  </si>
  <si>
    <t>QUISPE BARBOZA, TEODOSIA</t>
  </si>
  <si>
    <t>LLOCCLLA VASQUEZ, NARCISA</t>
  </si>
  <si>
    <t>GUZMAN CASTILLO, MARINA</t>
  </si>
  <si>
    <t>GUTIERREZ MARQUINA, FELIPE</t>
  </si>
  <si>
    <t>GUIA ALCARRAZ, YENICA</t>
  </si>
  <si>
    <t>ALCARRAZ NAVEROS, EDGAR</t>
  </si>
  <si>
    <t>SALAZAR PEREZ, JESUSA</t>
  </si>
  <si>
    <t>PARIONA PANPAS, DELIA</t>
  </si>
  <si>
    <t>CARDENAS GONZALES, RICARDINA</t>
  </si>
  <si>
    <t>ACUÑA SERNA, TEOFILO</t>
  </si>
  <si>
    <t>CASAS OSCCO, GREGORIA</t>
  </si>
  <si>
    <t>ECHEGARAY OCHOA, ALFREDO</t>
  </si>
  <si>
    <t>GUTIERREZ GUIDEON, ALISANDRINI</t>
  </si>
  <si>
    <t>OSCCO LLACTAS, GERARDO</t>
  </si>
  <si>
    <t>SALAZAR ANDRADA, TEODORO</t>
  </si>
  <si>
    <t>SALAZAR MEDINA, SILVIA</t>
  </si>
  <si>
    <t>ORTEGA GUTIERREZ, MARCIAL MANUEL</t>
  </si>
  <si>
    <t>TAMBO BARRON, MISSVER</t>
  </si>
  <si>
    <t>CRUZ DIAS, FLORENCIO</t>
  </si>
  <si>
    <t>PARIONA PAMPAS, OLIMPIA</t>
  </si>
  <si>
    <t>PALACIOS DURAND, BEATRIZ</t>
  </si>
  <si>
    <t>PEREZ CORDOVA, REMIGIA</t>
  </si>
  <si>
    <t>HUAMANI CORDOVA, DELFINA</t>
  </si>
  <si>
    <t>SECCE QUISPE, VICTORIA</t>
  </si>
  <si>
    <t>LOA MOLINA, SEBASTIAN</t>
  </si>
  <si>
    <t>CCEÑUA SECCE, JUAN</t>
  </si>
  <si>
    <t>VELASQUEZ PALOMINO, RUBEN</t>
  </si>
  <si>
    <t>BULEJE SILVERA, FELICITAS</t>
  </si>
  <si>
    <t>LEON CALLE, EDWIN</t>
  </si>
  <si>
    <t>PECEROS PERALTA, OLGA</t>
  </si>
  <si>
    <t>OCHOA RIVERA, PEDRO</t>
  </si>
  <si>
    <t>ORTIZ PERALTA, SOLEDAD</t>
  </si>
  <si>
    <t>CENTENO DE HUHAMANI, DOROTEA</t>
  </si>
  <si>
    <t>PALOMINO PRADO, PRIMITIVA</t>
  </si>
  <si>
    <t>SANCHEZ MENDOZA, TEODORA</t>
  </si>
  <si>
    <t>AIQUIPA DELGADO, FIDEL</t>
  </si>
  <si>
    <t>BAEZ AREVALO, EPIFANIA</t>
  </si>
  <si>
    <t>DELGADO UTANI, EUSEBIO</t>
  </si>
  <si>
    <t>SAYAGO FLORES, JUAN JENKI</t>
  </si>
  <si>
    <t>RIVERA MOSCOSO, GUILERMO</t>
  </si>
  <si>
    <t>DELGADO QUINTANA, DORINA</t>
  </si>
  <si>
    <t>QUISPE VILLANO, EDGAR</t>
  </si>
  <si>
    <t>DELGADO HUAMANI, OLIMPIA</t>
  </si>
  <si>
    <t>CHIPANA PAUCCAR, SIMONA</t>
  </si>
  <si>
    <t>JARA GUIZADO, TEODOSIA</t>
  </si>
  <si>
    <t>URBANO RAMOS, FATIMA SUSY</t>
  </si>
  <si>
    <t>PARIONA ROMERO, SONIA</t>
  </si>
  <si>
    <t>SERRANO SANCHEZ, JOSE LUIS</t>
  </si>
  <si>
    <t>SECCE RAMOS, BETHA</t>
  </si>
  <si>
    <t>CACERES PALOMINO, GUILLERMO</t>
  </si>
  <si>
    <t>JUAREZ MORAN, CIRILA</t>
  </si>
  <si>
    <t>SERRANO ANDRADA, ALBERTO</t>
  </si>
  <si>
    <t>QUISPE CARDENAS, PORFIRIO</t>
  </si>
  <si>
    <t>RIVERA SANTA ROSA, MARIA LOURDES</t>
  </si>
  <si>
    <t>QUINTANA SALAZAR, JUAN FRANCISCO</t>
  </si>
  <si>
    <t>GARFIAS HUARCAYA, DELFINA</t>
  </si>
  <si>
    <t>QUISPE GOMEZ, GRACIELA</t>
  </si>
  <si>
    <t>DAMIAN HUAÑA, ESTEBAN</t>
  </si>
  <si>
    <t>HUALLPAR ORTEGA, JULIA</t>
  </si>
  <si>
    <t>FARFAN TADIO, CICIRIO</t>
  </si>
  <si>
    <t>MESCUA FUNDIZ, VICTOR EDMUNDO</t>
  </si>
  <si>
    <t>CHIPANA DELGADO, JUAN CARLOS</t>
  </si>
  <si>
    <t>PARDO ALHUAY, FORTUNATA</t>
  </si>
  <si>
    <t>CAÑARI LAUPA, DORA</t>
  </si>
  <si>
    <t>FARFAN CRISOLES, PAULINO PIO</t>
  </si>
  <si>
    <t>CEVALLOS FARFAN, AVELINA</t>
  </si>
  <si>
    <t>QUISPE SECCE, OCTAVIA</t>
  </si>
  <si>
    <t>ACOSTA CENTENO, JULIA MONICA</t>
  </si>
  <si>
    <t>TORRE ALVITES, JULIA ROSA</t>
  </si>
  <si>
    <t>AMORIN FARFAN, HERMELINDA NORMA</t>
  </si>
  <si>
    <t>GOMEZ SALAZAR, ELIOTERIA DONATA</t>
  </si>
  <si>
    <t>DE LA CRUZ CARTOLIN, FELICITAS</t>
  </si>
  <si>
    <t>ALMANZ GUTIERREZ, ALEJANDRO</t>
  </si>
  <si>
    <t>QUISPE OSNAYO, ALEJANDRO</t>
  </si>
  <si>
    <t>TNCO CHIPANA, GREGORIO</t>
  </si>
  <si>
    <t>SAUÑE VEGA, MARCELINA</t>
  </si>
  <si>
    <t>QUISPE OSNAYO, DONATILDA</t>
  </si>
  <si>
    <t>QUISPE ROJAS, ALICIA</t>
  </si>
  <si>
    <t>TINCO OSNAYO, EDILBERTINA</t>
  </si>
  <si>
    <t>CHIPANA CHAVEZ, CONCEPCION</t>
  </si>
  <si>
    <t>QUINTANA HERHUAY, GLORIA SABINA</t>
  </si>
  <si>
    <t>CARRASCO RODAS, ERACLIYO</t>
  </si>
  <si>
    <t>SIVIPAUCAR ENCISO, ELGAR</t>
  </si>
  <si>
    <t>NAVARRO ROMERO, GERARDO MARTIN</t>
  </si>
  <si>
    <t>VIVANCO FARFAN, ASUNCION</t>
  </si>
  <si>
    <t>CHAVEZ ARCE, LEONILDA</t>
  </si>
  <si>
    <t>FARFAN QUISPE, GILBERTO</t>
  </si>
  <si>
    <t>YUPANQUI RIVAS, WILIAN</t>
  </si>
  <si>
    <t>CHINCHEROS</t>
  </si>
  <si>
    <t>PILLACA VARGAS, YOLI</t>
  </si>
  <si>
    <t>LUNA OLIVARES, ALBINO</t>
  </si>
  <si>
    <t>MEDINA AMAO, JUAN VIRGILIO</t>
  </si>
  <si>
    <t>SALAS VILCHEZ, ROS MIRY</t>
  </si>
  <si>
    <t>ROJAS ROMAN, FELICITAS VICTORIA</t>
  </si>
  <si>
    <t>CARBAJAL DE PILLACA, REGINA MARIA</t>
  </si>
  <si>
    <t>ORIHUELA ALLENDE, EULOGIO</t>
  </si>
  <si>
    <t>AMAO MAYTA, NELY</t>
  </si>
  <si>
    <t>TIPE QUISPE, JOSEFINA</t>
  </si>
  <si>
    <t>NAVARRO FLORES, LOURDES</t>
  </si>
  <si>
    <t>CABRERA MEDINA, REYNA ROCIO</t>
  </si>
  <si>
    <t>PILLACA GALINDO, HERMINIO</t>
  </si>
  <si>
    <t>DIAZ PILLACA, SALOMON</t>
  </si>
  <si>
    <t>CARBAJAL ORE, LORENZO</t>
  </si>
  <si>
    <t>CARBAJAL JAUREGUI, JOSEFINA</t>
  </si>
  <si>
    <t>RIVAS PILLACA, ESTHER</t>
  </si>
  <si>
    <t>ILLESCA MARIA ISABEL, MENDOZA</t>
  </si>
  <si>
    <t>ORE AQUISE, FELIX</t>
  </si>
  <si>
    <t>SICHA CURI, JUAN</t>
  </si>
  <si>
    <t>PALOMINO DE VALER, DIONICIA ALEJANDRA</t>
  </si>
  <si>
    <t>JAIME DE VENEGAS, DORA MARIA</t>
  </si>
  <si>
    <t>PEREZ HUAMANI, AMERICO</t>
  </si>
  <si>
    <t>CACERES HUAMANI, AURELIA</t>
  </si>
  <si>
    <t>POZO UCHUPE, JULIAN BACILIO</t>
  </si>
  <si>
    <t>MEDINA CECERES, DOROTEA</t>
  </si>
  <si>
    <t>ZARATE LLANTERHUAY, JORGE WASHINGTON</t>
  </si>
  <si>
    <t>AREVALO DE LUQUE, MARIA ANTONIA</t>
  </si>
  <si>
    <t>AREVALO DE VARGAS, EDILBURGA</t>
  </si>
  <si>
    <t>VILCHEZ PACHECO, CONSTANTINA</t>
  </si>
  <si>
    <t>ASCARZA DE MEDINA, TERESA</t>
  </si>
  <si>
    <t>PILLACA PALMA, ZAIDE MAYOBE</t>
  </si>
  <si>
    <t>HUAMAN ORTIZ, CARMEN ROSA</t>
  </si>
  <si>
    <t>ORE SOTO, ALEJANDRINA</t>
  </si>
  <si>
    <t>CCASANI CESPEDES, JUAN</t>
  </si>
  <si>
    <t>CHILINGANO PORRAS, FRANCISCO</t>
  </si>
  <si>
    <t>POZO VILA, LAZARO</t>
  </si>
  <si>
    <t>MOZO LEON, FORTUNATA</t>
  </si>
  <si>
    <t>GUILLEN CUSIHUAMAN, PIO</t>
  </si>
  <si>
    <t>OLARTE CARRASCO, NORMA</t>
  </si>
  <si>
    <t>SANCHEZ GUILLEN, CESAR</t>
  </si>
  <si>
    <t>HUAMAN MEDINA, LUIS</t>
  </si>
  <si>
    <t>CHUHUI PILLACA, MILANIA</t>
  </si>
  <si>
    <t>MEDINA OLANO, VILMA</t>
  </si>
  <si>
    <t>MARTINEZ PUNIL, MERCEDES</t>
  </si>
  <si>
    <t>PARRA CCASO, JUAN PEDRO</t>
  </si>
  <si>
    <t>PALMA ACOSTA, SONIA</t>
  </si>
  <si>
    <t>YUPANQUI PILLACA, CLOTILDE</t>
  </si>
  <si>
    <t>QUISPE DE LA CRUZ, OCTAVIO</t>
  </si>
  <si>
    <t>VARGAS ROJAS, VICTOR ROMULO</t>
  </si>
  <si>
    <t>ZEDANO VENEGAS, FERNANDO</t>
  </si>
  <si>
    <t>PILLACA CHINCHAY, PAULINO</t>
  </si>
  <si>
    <t>DOMINGUEZ TELLO, SINFOROSA</t>
  </si>
  <si>
    <t>CACERES DOMINGUEZ, MARGARITA</t>
  </si>
  <si>
    <t>LUQUE FLORES, CLOTILDE GUILLERMA</t>
  </si>
  <si>
    <t>ZEDANO VENEGAS, SANTIAGO</t>
  </si>
  <si>
    <t>CARBAJAL SULCA, AYDEE GERONIMO</t>
  </si>
  <si>
    <t>AVALOS MEDINA, LUIS</t>
  </si>
  <si>
    <t>HUAMAN QUISPE, DONATILA</t>
  </si>
  <si>
    <t>SOTO GUIZADO, REYNA</t>
  </si>
  <si>
    <t>AREVALO MEDINA, MOISES ROMAN</t>
  </si>
  <si>
    <t>DOMINGUEZ GAMBOA, MARTINA ANDREA</t>
  </si>
  <si>
    <t>GUTIERREZ ÑAHUIS, ALEJANDRA</t>
  </si>
  <si>
    <t>ZEDANO VENEGAS, MARINA</t>
  </si>
  <si>
    <t>CARVAJAL ALCARRAZ, ADELA</t>
  </si>
  <si>
    <t>ANCO-HUALLO</t>
  </si>
  <si>
    <t>MENDEZ PILLACA, BERTHA</t>
  </si>
  <si>
    <t>RAMOS DE SICHA, MICAELA</t>
  </si>
  <si>
    <t>HUAMAN YUTO, VICTOR</t>
  </si>
  <si>
    <t>GOMEZ SICHA, PAULINO</t>
  </si>
  <si>
    <t>LIMA DE LA BARRA, LEONCIO</t>
  </si>
  <si>
    <t>PILLACA LLOCCLLA, TERESA</t>
  </si>
  <si>
    <t>DIAZ PIPA, CESAR CARLOS</t>
  </si>
  <si>
    <t>POMACOCHA</t>
  </si>
  <si>
    <t>HINOSTROZA UCHUPE, NERI</t>
  </si>
  <si>
    <t>YUPANQUI PILLACA, ISABEL</t>
  </si>
  <si>
    <t>DOMINGUEZ CARBAJAL, BRAULIO</t>
  </si>
  <si>
    <t>RAMOS LIMA DE QUISPE, BUENAVENTURA</t>
  </si>
  <si>
    <t>CURO CACERES, GLADIS NORMA</t>
  </si>
  <si>
    <t>CHAVEZ FLORES, VICTOR ESTANISLAO</t>
  </si>
  <si>
    <t>GUTIERREZ RRAMOS, SABINA</t>
  </si>
  <si>
    <t>LUQUE DE GAMBOA, HUMBELINA</t>
  </si>
  <si>
    <t>FLORES MARTINEZ, LIDIA</t>
  </si>
  <si>
    <t>AREVALO DE VALER, CASIMIRA</t>
  </si>
  <si>
    <t>FLORES CAMPOS, DINA</t>
  </si>
  <si>
    <t>LLOCLLA LIZANA, JUANA VICTORIA</t>
  </si>
  <si>
    <t>GUIZADO  DE MEDINA, REYNA</t>
  </si>
  <si>
    <t>GOMEZ ESCRIBA, CARMEN ROSA</t>
  </si>
  <si>
    <t>URRUTIA DE QUISPE, MARIA</t>
  </si>
  <si>
    <t>VILCHEZ PALMA, DANTE</t>
  </si>
  <si>
    <t>URRUTIA LEIVA, MARIA ASUNCION</t>
  </si>
  <si>
    <t>MOTTA DE VILLAGARAY, GLORIA HONORATA</t>
  </si>
  <si>
    <t>BUITRON CONTRERAS, GISSELA</t>
  </si>
  <si>
    <t>MOISES DE RIVERA, AYDE</t>
  </si>
  <si>
    <t>SACCACO DE PILLACA, VICTORIA</t>
  </si>
  <si>
    <t>ZAMORA CARBAJAL, CAREMINA ROSMERY</t>
  </si>
  <si>
    <t>GOMEZ ESCRIBA, MICHEL</t>
  </si>
  <si>
    <t>RAMIREZ GUTIERREZ, BERTHA</t>
  </si>
  <si>
    <t>SIHUI CASAPAICO, PERCY</t>
  </si>
  <si>
    <t>LLANTERHUAY CASAPAICO, MARINA</t>
  </si>
  <si>
    <t>SILVA GUIZADO, ELISEO</t>
  </si>
  <si>
    <t>CASAPAICO DE LLANTERHUAY, SILBESTRA</t>
  </si>
  <si>
    <t>CASAPAICO DE DIAZ, CIRILA</t>
  </si>
  <si>
    <t>GONZALES RAMIREZ, JOSE ANTONIO</t>
  </si>
  <si>
    <t>BONIS ARIAS, YSABEL</t>
  </si>
  <si>
    <t>CASAPAYCO BONES, MARGARITA</t>
  </si>
  <si>
    <t>CURO NACCTARIMAY, AMADOR</t>
  </si>
  <si>
    <t>HUACCANA</t>
  </si>
  <si>
    <t>PILLACA DIAZ, CELSA</t>
  </si>
  <si>
    <t>DIAZ  DE LLOCLLA, FELICIANA</t>
  </si>
  <si>
    <t>PILLACA QUISPE, EPIFANIO</t>
  </si>
  <si>
    <t>PILLACA SICHA, PAULINA</t>
  </si>
  <si>
    <t>HUAMAN QUISPE, MARGARITA</t>
  </si>
  <si>
    <t>GUTIERREZ HUAMAN, ENRIQUE</t>
  </si>
  <si>
    <t>GUTIERREZ HUAMAN, NEMESIA</t>
  </si>
  <si>
    <t>YAURI SACCSARA, ANDRES</t>
  </si>
  <si>
    <t>HUAMAN CCASANI, CRISANTO DARIO</t>
  </si>
  <si>
    <t>GAMBOA VELAZQUE, VICTOR PADRO</t>
  </si>
  <si>
    <t>LAURA ROMIEL, NICOLAS</t>
  </si>
  <si>
    <t>LUJAN LLOCLLA, JUSTO EPIFANIO</t>
  </si>
  <si>
    <t>QUISPE AGUILAR, LUCIO</t>
  </si>
  <si>
    <t>URRUTIA CHAVEZ, CARMEN</t>
  </si>
  <si>
    <t>PACHECO MEDINA, CATALINA</t>
  </si>
  <si>
    <t>LEGUIA MEDINA, FREDDY</t>
  </si>
  <si>
    <t>PINTO RAMIREZ, VILMA ZENEYDA</t>
  </si>
  <si>
    <t>CORDOVA CARDENAS, YADELI</t>
  </si>
  <si>
    <t>GUIA LOBATON, CARMEN</t>
  </si>
  <si>
    <t>GONZALES PALOMINO, ALEJANDRA</t>
  </si>
  <si>
    <t>QUISPE PALOMINO, AGUSTINA</t>
  </si>
  <si>
    <t>RAMOS GONZALES, ROSA</t>
  </si>
  <si>
    <t>LAGO ZEVALLOS, RUTH</t>
  </si>
  <si>
    <t>GRANADOS ALCARRAZ, MARUJA</t>
  </si>
  <si>
    <t>LOA RODRIGO, SANTIAGO</t>
  </si>
  <si>
    <t>TALAVERANO CONTRERAS, MELQUIADES</t>
  </si>
  <si>
    <t>ALTAMIRANO HUAMAN, MARIA</t>
  </si>
  <si>
    <t>VIVANCO GONZALES, EDGAR</t>
  </si>
  <si>
    <t>QUISPE SERNA, MARGARITA</t>
  </si>
  <si>
    <t>ALCARRAZ HUAMAN, TEODORA</t>
  </si>
  <si>
    <t>BULEJE ALCARRAZ, GENOVEVA</t>
  </si>
  <si>
    <t>VARGAS CARDENAS, ELISEO</t>
  </si>
  <si>
    <t>CCEPAYA ALCARRAS, GREGORIA</t>
  </si>
  <si>
    <t>HUAMAN DE LLOCCLLA, BASILIA</t>
  </si>
  <si>
    <t>GUSMAN PALOMINO, ROSA</t>
  </si>
  <si>
    <t>ALTAMIRANO VASQUEZ, PAULINO</t>
  </si>
  <si>
    <t>LAURA PALOMINO, MARCELA</t>
  </si>
  <si>
    <t>AHUALLA CARDENAS, CARMEN</t>
  </si>
  <si>
    <t>HUAMAN CARDENAS, VILMA</t>
  </si>
  <si>
    <t>CCAPCHA BUITRON, NILDA</t>
  </si>
  <si>
    <t>GUZMAN HUAMAN, ERNESTO</t>
  </si>
  <si>
    <t>LLOCCLLA HUAMAN, GABINO</t>
  </si>
  <si>
    <t>LLOCCLLA HUAMAN, LEONARDO</t>
  </si>
  <si>
    <t>GUSMAN HUAMAN, JESUSA</t>
  </si>
  <si>
    <t>ALTAMIRANO GUZMAN, AUREA</t>
  </si>
  <si>
    <t>RAMIREZ PALOMINO, SONIA</t>
  </si>
  <si>
    <t>LLOCCLLA YAURIS, LUCIO</t>
  </si>
  <si>
    <t>QUISPE MOZO, DELSA</t>
  </si>
  <si>
    <t>CARDENAS HUAMAN, RITA</t>
  </si>
  <si>
    <t>PALOMINO CENTENO, LEOCADIA</t>
  </si>
  <si>
    <t>LLOCCLLA MENDOZA, RICARDO</t>
  </si>
  <si>
    <t>HUAMAN GUZMAN, LEONCIO</t>
  </si>
  <si>
    <t>GUZMAN HUAMAN, SONIA</t>
  </si>
  <si>
    <t>AULLA LAURA, LUISA</t>
  </si>
  <si>
    <t>PALOMINO DE AULLA, ARMANDINA</t>
  </si>
  <si>
    <t>LAURA DE AULLA, LORENZA PAULA</t>
  </si>
  <si>
    <t>CESPEDES CHOQUE, MARIBEL</t>
  </si>
  <si>
    <t>ALTAMIRANO HERMOZA, LUCIO</t>
  </si>
  <si>
    <t>ALTAMIRANO LEIVA, MARI LUZ</t>
  </si>
  <si>
    <t>LAGO ROMAN, EDUARDO</t>
  </si>
  <si>
    <t>LAGO PALOMINO, CELESTINA</t>
  </si>
  <si>
    <t>PALOMINO HUAMAN, LIDA</t>
  </si>
  <si>
    <t>VILLEGAS VELASQUEZ, ZORAIDA</t>
  </si>
  <si>
    <t>HUAMAN PARIONA, RENEE</t>
  </si>
  <si>
    <t>RAMOS GONZALES, MAXIMO</t>
  </si>
  <si>
    <t>CACERES CORDOVA, AGUSTIN</t>
  </si>
  <si>
    <t>PALOMINO LAGO, BRAULIO</t>
  </si>
  <si>
    <t>CHUNGUI PALOMINO, CONSTANTINO</t>
  </si>
  <si>
    <t>HUAMAN CORDOVA, BUENAVENTURA</t>
  </si>
  <si>
    <t>PALOMINO LEON, PAULINA</t>
  </si>
  <si>
    <t>CHUNGUI PALOMINO, JUSTINA</t>
  </si>
  <si>
    <t>HUAMAN PALOMINO, TEOFILO</t>
  </si>
  <si>
    <t>PARIONA PALOMINO, YOVANA</t>
  </si>
  <si>
    <t>PALOMINO CORDOVA, JUANA</t>
  </si>
  <si>
    <t>PALOMINO PARIONA, MAXIMINA</t>
  </si>
  <si>
    <t>GUSMAN ORTIZ, CATALINA</t>
  </si>
  <si>
    <t>PARIONA LAGO, MAXIMO</t>
  </si>
  <si>
    <t>CHUNGUI PALOMINO, AGAPITO</t>
  </si>
  <si>
    <t>RAMOS CARDENAS, HONORATA</t>
  </si>
  <si>
    <t>CHUNGUE RAMOS, ADRIAN</t>
  </si>
  <si>
    <t>PALOMINO PARIONA, HONORATA</t>
  </si>
  <si>
    <t>CAPULIAN PALOMINO, MELISA</t>
  </si>
  <si>
    <t>ROMANI PALOMINO, ELIAS VICTOR</t>
  </si>
  <si>
    <t>CORDOVA ACOSTA, MAXIMILIANA</t>
  </si>
  <si>
    <t>PARIONA RAMOS, PAULINA</t>
  </si>
  <si>
    <t>PARIONA LEON, LUISA</t>
  </si>
  <si>
    <t>CHUNGUI ROMANI, SANTIAGO</t>
  </si>
  <si>
    <t>LEON PARIONA, GLORIA</t>
  </si>
  <si>
    <t>RAMOS CONDOR, DELIA</t>
  </si>
  <si>
    <t>CORDOVA PALOMINO, ARMANDO</t>
  </si>
  <si>
    <t>CHUNGUE RAMOS, ISABEL</t>
  </si>
  <si>
    <t>PARIONA GARCIA, CARLOS</t>
  </si>
  <si>
    <t>LAGO HUAMAN, GREGORIA</t>
  </si>
  <si>
    <t>HUAMAN PALOMINO, NEMECIO</t>
  </si>
  <si>
    <t>PALOMINO CHUNGUI, HERMELINDA</t>
  </si>
  <si>
    <t>PAMPAS DE PALOMINO, FELIPA</t>
  </si>
  <si>
    <t>PALOMINO CENTENO, BALENTINA</t>
  </si>
  <si>
    <t>HUAMAN APARCO, MIGUEL</t>
  </si>
  <si>
    <t>DE VELASQUE PAULA, ZUÑIGA</t>
  </si>
  <si>
    <t>HUARCAYA QUISPE, THALY</t>
  </si>
  <si>
    <t>JIMENEZ CUSI, LIDIA</t>
  </si>
  <si>
    <t>CUSI DE JIMENEZ, PAULA</t>
  </si>
  <si>
    <t>JIMENEZ ESPINOZA, EMILIA</t>
  </si>
  <si>
    <t>CUSI DE RIVERA, ALBERTO</t>
  </si>
  <si>
    <t>ESPINOZA RODAS, MARTINA</t>
  </si>
  <si>
    <t>RODAS ORIGUELA, JORGE</t>
  </si>
  <si>
    <t>SERNA RIVERA, SONIA</t>
  </si>
  <si>
    <t>ANDRADA CENTENO, DIONISIA</t>
  </si>
  <si>
    <t>ORTEGA ALARCON, FRANCISCO</t>
  </si>
  <si>
    <t>TALAVERANO VELAZQUE, ELBERTH EDWIN</t>
  </si>
  <si>
    <t>RIVERA PASTOR, BERTHA</t>
  </si>
  <si>
    <t>OLIVARES SERNA, AURELIO</t>
  </si>
  <si>
    <t>HUAMAN HUAMAN, MARIA MAGDALENA</t>
  </si>
  <si>
    <t>SERNA ARENAS, SABINO</t>
  </si>
  <si>
    <t>VELAZQUE OLINDA, HUAMAN</t>
  </si>
  <si>
    <t>LASTRERA  VICTORIA, GUIZADO</t>
  </si>
  <si>
    <t>RODAS HUAMANI, MARCELINA</t>
  </si>
  <si>
    <t>HURTADO ANDRADA, BACILIA</t>
  </si>
  <si>
    <t>CONTRERAS DE ORTEGA, TODORA</t>
  </si>
  <si>
    <t>RODAS HURTADO, JOSE CARLOS</t>
  </si>
  <si>
    <t>HURTADO ORTEGA, CAROLINA</t>
  </si>
  <si>
    <t>ORTEGA OLIVARES, HERMELINDA</t>
  </si>
  <si>
    <t>CCOLLCCA SILVERA, ALICIA</t>
  </si>
  <si>
    <t>ORTEGA ROSALES, MARTINA</t>
  </si>
  <si>
    <t>CUSINGA SURI, PAULINA</t>
  </si>
  <si>
    <t>AGUILAR RODAS, MARIA</t>
  </si>
  <si>
    <t>SERNA CACERES, JOSE ANTONIO</t>
  </si>
  <si>
    <t>ORTEGA GONZALES, TEOFILA</t>
  </si>
  <si>
    <t>BERROCAL LASTRERA, GREGORIO</t>
  </si>
  <si>
    <t>RAMIRES CARDENAS, ISIDORA</t>
  </si>
  <si>
    <t>BULEJE ALCARRAZ, VILMA</t>
  </si>
  <si>
    <t>PALOMINO LOA, HILDA</t>
  </si>
  <si>
    <t>AGUILA RODAS, YOVANA</t>
  </si>
  <si>
    <t>RODAS PEREZ, YOLI MARLENI</t>
  </si>
  <si>
    <t>RODAS MORALES, VICENTE</t>
  </si>
  <si>
    <t>BULEJE GUIZADO, CATERIN GABRIELA</t>
  </si>
  <si>
    <t>LASTRERA FLORES, CORNELIO</t>
  </si>
  <si>
    <t>BULEJE LASTRERA, ANDRES</t>
  </si>
  <si>
    <t>INFANTE CASTILLO, TATIANA</t>
  </si>
  <si>
    <t>AGUILA BERROCAL, ZULMA</t>
  </si>
  <si>
    <t>GUIZADO ORTIZ, EUGENIO</t>
  </si>
  <si>
    <t>VELASQUE SALAZAR, ROSA</t>
  </si>
  <si>
    <t>ORTEGA TITO, MADONA</t>
  </si>
  <si>
    <t>ALFARO SERNA, ISABEL</t>
  </si>
  <si>
    <t>CCOICCA CONTRERAS, SONIA</t>
  </si>
  <si>
    <t>ZUÑIGA QUISPE, HECTOR</t>
  </si>
  <si>
    <t>MAUCAYLLE QUISPE, JESUSA</t>
  </si>
  <si>
    <t>MENDEZ QUINTANA, SABINA MARUJA</t>
  </si>
  <si>
    <t>ORTIZ ALTAMIRANO, MARIO</t>
  </si>
  <si>
    <t>ALCARRAZ NAVEROS, VILMA</t>
  </si>
  <si>
    <t>GUIA RAMIREZ, LUIS</t>
  </si>
  <si>
    <t>SERNA DE GUIA, JUANA</t>
  </si>
  <si>
    <t>ALCARRAZ DE BULEJE, MARIA</t>
  </si>
  <si>
    <t>SERNA ARAUJO, SANDIA MIRET</t>
  </si>
  <si>
    <t>ALCARRAZ NAVEROS, FLORA</t>
  </si>
  <si>
    <t>LOAYSA OSIS, HAYDE</t>
  </si>
  <si>
    <t>LOA DE SERNA, LIDIA</t>
  </si>
  <si>
    <t>NAVEROS VARGAS, LOURDES</t>
  </si>
  <si>
    <t>HUACHUHUILLCA CARDENAS, CIPRIANO</t>
  </si>
  <si>
    <t>ROMERO CCOPA, NICASIO</t>
  </si>
  <si>
    <t>ARAUJO GONZALES, LUCIA</t>
  </si>
  <si>
    <t>HUACHACA CCORIMANYA, MARINA</t>
  </si>
  <si>
    <t>GONZALES ROJAS, ASUNCION</t>
  </si>
  <si>
    <t>OSIS DE LOAYZA, DONATILA</t>
  </si>
  <si>
    <t>ALCARRAZ DE ROMANI, JULIA</t>
  </si>
  <si>
    <t>HURTADO RAMIREZ, DELIA</t>
  </si>
  <si>
    <t>ROMANI VARGAS, TEOFILO</t>
  </si>
  <si>
    <t>BULEJE CONTRERAS, OSWEL DAVID</t>
  </si>
  <si>
    <t>CRUZ DE CONDOR, DONATILA</t>
  </si>
  <si>
    <t>QUISPE YUPANQUI, HILDA</t>
  </si>
  <si>
    <t>ORELLANA MUÑOZ, FREDY</t>
  </si>
  <si>
    <t>EDGAR NAJARRO, SOTO</t>
  </si>
  <si>
    <t>MAMANI TUCO, NELY</t>
  </si>
  <si>
    <t>LLOCCLLA DE CRUZ, APOLINARIA</t>
  </si>
  <si>
    <t>PILLACA RAMOS, CIRILA</t>
  </si>
  <si>
    <t>OBREGON CACERES, CIRILO</t>
  </si>
  <si>
    <t>CRUZ DIAZ, MANUEL</t>
  </si>
  <si>
    <t>PIPA DE ISLACHIN, AGUSTINA</t>
  </si>
  <si>
    <t>RAMIREZ RIVAS, OLIMPIA</t>
  </si>
  <si>
    <t>GUTIERREZ PIPA, TEOFILO SIMEON</t>
  </si>
  <si>
    <t>RAMIREZ YAÑE, INDALICIO</t>
  </si>
  <si>
    <t>HUARHUACHI SACCACO, ALEJANDRINA</t>
  </si>
  <si>
    <t>LOA DE ORTIZ,  MARIA CLEOFE</t>
  </si>
  <si>
    <t>CUCHO SALCEDO, MARIA ROXANA</t>
  </si>
  <si>
    <t>TEOFILO HUAMAN, CARBAJAL</t>
  </si>
  <si>
    <t>CACERES ROJAS, MAXIMINA</t>
  </si>
  <si>
    <t>RAMIREZ ALARCON, LEOCADIO</t>
  </si>
  <si>
    <t>GUIZADO CURI, VIRGINIA</t>
  </si>
  <si>
    <t>YUPANQUI NAVARRO, MARY LUZ</t>
  </si>
  <si>
    <t>AJAHUANA RAMOS, VERONICA</t>
  </si>
  <si>
    <t>PEREZ DE HUARHUACHI, CANDELARIA FELECIANA</t>
  </si>
  <si>
    <t>VIGURIA PACHECO, JUAN SANTIAGO</t>
  </si>
  <si>
    <t>DIAZ HUARHUACHI, SONIA</t>
  </si>
  <si>
    <t>LLACCTARIMAY GUERREROS, ARTEMIA</t>
  </si>
  <si>
    <t>GUERREROS LLACCTARIMAY, FANNY</t>
  </si>
  <si>
    <t>CASTRO ASPOR, FILOMENA</t>
  </si>
  <si>
    <t>TELLO DE ROJAS, ANA CELINDA</t>
  </si>
  <si>
    <t>RAMOS MAMANI, BERTHA</t>
  </si>
  <si>
    <t>GALINDO GONZALEZ, SEBASTIAN</t>
  </si>
  <si>
    <t>DIAZ DE CARBAJAL,  VICTORIA</t>
  </si>
  <si>
    <t>FAUTA HUARHUACHI, AQUISE</t>
  </si>
  <si>
    <t>LUNA REYES, MARIA FRANCISCA</t>
  </si>
  <si>
    <t>TORRE ALCARRAZ, MARIA</t>
  </si>
  <si>
    <t>CANCHAYA QUISPE, LUSMILA C</t>
  </si>
  <si>
    <t>LOA LUDEÑA, ALEJANDRINA</t>
  </si>
  <si>
    <t>PRADA GOMEZ, DAYSY</t>
  </si>
  <si>
    <t>MANUEL ALTOS, TAIPE</t>
  </si>
  <si>
    <t>OLARTE HUARHUACHI, VICTOR CIRO</t>
  </si>
  <si>
    <t>PIZARRO CHOQUE, EVA</t>
  </si>
  <si>
    <t>SANCCO TUNQUE, YANET BERTHA</t>
  </si>
  <si>
    <t>LLOCCLLA LUJAN, FELICITAS</t>
  </si>
  <si>
    <t>HUARACA QUISPE, JHONATAN</t>
  </si>
  <si>
    <t>QUISPE SICHA, ANGELICA</t>
  </si>
  <si>
    <t>HUARHUACHI DE PILLACA, GLICERIA</t>
  </si>
  <si>
    <t>PILLACA DE HUAMAN, LUCIA</t>
  </si>
  <si>
    <t>MEDINA DE MARIÑO, JUANA</t>
  </si>
  <si>
    <t>YAÑE MEDRANO, MARLENY</t>
  </si>
  <si>
    <t>RODAS SICHA, ELIPELETA</t>
  </si>
  <si>
    <t>AQUISE QUISPE, FILOMENA</t>
  </si>
  <si>
    <t>OBREGON ORTIZ, HILDA ISABEL</t>
  </si>
  <si>
    <t>QUISPE HUAMAN, ZENAIDA</t>
  </si>
  <si>
    <t>SALCEDO CALDERON, ELENA</t>
  </si>
  <si>
    <t>ESPINO SILVA, MERCEDES</t>
  </si>
  <si>
    <t>PAREDES CACERES, MAXIMILIANA</t>
  </si>
  <si>
    <t>PILLACA QUISPE, CLAUDIA</t>
  </si>
  <si>
    <t>RAMIREZ PILLACA, FRANCISCA</t>
  </si>
  <si>
    <t>DIAZ RAMIREZ, VIRGINIA</t>
  </si>
  <si>
    <t>ALCARRAZ ZEDANO, MAXIMO</t>
  </si>
  <si>
    <t>CUSI MELENDES, IRMA</t>
  </si>
  <si>
    <t>GUIZADO LLOCCLLA, DELIA</t>
  </si>
  <si>
    <t>NAJARRO AREVALO, SEBASTIAN</t>
  </si>
  <si>
    <t>CURO SICHA, ZENON</t>
  </si>
  <si>
    <t>CRUZ PILLACA, FELICITAS</t>
  </si>
  <si>
    <t>PUNIL PILLACA, NELY</t>
  </si>
  <si>
    <t>QUISPE GAMBOA, DIONISIA</t>
  </si>
  <si>
    <t>SICHA VDA DE YUPANQUI, ISABEL</t>
  </si>
  <si>
    <t>PILLACA CCASANI, DELFINA</t>
  </si>
  <si>
    <t>PILLACA SANCHEZ, HONORATA</t>
  </si>
  <si>
    <t>SOTELO OSIS, JULIO</t>
  </si>
  <si>
    <t>CURO DE NAJARRO, LUCILA</t>
  </si>
  <si>
    <t>HUAYLLASCO LLACTARIMAY, REYNA</t>
  </si>
  <si>
    <t>RAMOS CAYLLAHUA, ELEUTERIO</t>
  </si>
  <si>
    <t>CCASANI SICHA, JOSE</t>
  </si>
  <si>
    <t>HUAMAN DE LOAYZA, GLADIS</t>
  </si>
  <si>
    <t>PAHUARA SOTELO, GERMAN HILARIO</t>
  </si>
  <si>
    <t>RAMIREZ YAÑEZ, TEODOSIO</t>
  </si>
  <si>
    <t>RAMIREZ LLOCLLA, RONAL</t>
  </si>
  <si>
    <t>CARBAJAL DE CUCHO, MAXIMILIANA</t>
  </si>
  <si>
    <t>LLOCLLA DE RAMOS, JULIA</t>
  </si>
  <si>
    <t>GAMONAL PARIONA, ODILIA</t>
  </si>
  <si>
    <t>TORRES SOTO, PRUDENCIA</t>
  </si>
  <si>
    <t>CARBAJAL OSCCO, MARIA</t>
  </si>
  <si>
    <t>IBAÑEZ CHUMBE, MARINA</t>
  </si>
  <si>
    <t>HUAMAN CARBAJAL, FELIX</t>
  </si>
  <si>
    <t>LOAYZA HUAMAN, GRACIELA</t>
  </si>
  <si>
    <t>ROJAS TELLO, MERCEDES</t>
  </si>
  <si>
    <t>HUAMAN SANTIAGO, NIEVES</t>
  </si>
  <si>
    <t>MENDOZA PILLACA, GUILLERMINA</t>
  </si>
  <si>
    <t>GANBOA PILLACA, BERTHA</t>
  </si>
  <si>
    <t>GUTIERREZ PEREZ, VICTOR</t>
  </si>
  <si>
    <t>HUACRE OLARTE, MAURICIA MATILDE</t>
  </si>
  <si>
    <t>GUITIERREZ PIPA, ENCARNACION</t>
  </si>
  <si>
    <t>CHIPANA PILLACA, BERTHA BEATRIZ</t>
  </si>
  <si>
    <t>MENDOZA ACHA, SIMEON</t>
  </si>
  <si>
    <t>GAMBOA PILLACA, ALEJANDRO</t>
  </si>
  <si>
    <t>HUARHUACHI PILLACA, JUANA</t>
  </si>
  <si>
    <t>SOZA LOA, TEODOSIA</t>
  </si>
  <si>
    <t>SICHA HUARHUACHI, FLORA</t>
  </si>
  <si>
    <t>CONDOR DE DIAZ, FELICITAS</t>
  </si>
  <si>
    <t>DIAZ CONDOR, ALEJANDRO</t>
  </si>
  <si>
    <t>AQUISE HUARHUACHI, LIDIA</t>
  </si>
  <si>
    <t>LLOCLLA DIAZ, VILMA</t>
  </si>
  <si>
    <t>SACCACO QUISPE, DEMETRIO</t>
  </si>
  <si>
    <t>RAMOS HUARHUACHI, MARINA</t>
  </si>
  <si>
    <t>QUISPE RODRIGO, ERASMINA</t>
  </si>
  <si>
    <t>HUARI GUTIERREZ, PRIMITIVO</t>
  </si>
  <si>
    <t>QUISPE PARIONA, NORA</t>
  </si>
  <si>
    <t>PAHUARA QUISPE, EMILIA</t>
  </si>
  <si>
    <t>HACHA DIAZ, CESAR</t>
  </si>
  <si>
    <t>GAMBOA OLIVARES, BASILIO</t>
  </si>
  <si>
    <t>GAMBOA GARCIA, AVELINO</t>
  </si>
  <si>
    <t>DIAZ DE AQUISE, JULIA CRISTINA</t>
  </si>
  <si>
    <t>DIAZ HUARHUACHI, LIDIA</t>
  </si>
  <si>
    <t>HUARHUACHI AQUISE, VICENTA</t>
  </si>
  <si>
    <t>PILLACA GAMBOA, VICTORIA</t>
  </si>
  <si>
    <t>PILLACA LLOCLLA, RUTH</t>
  </si>
  <si>
    <t>HUANCA AQUISE, SALVADOR</t>
  </si>
  <si>
    <t>RAMOS SACCACO, MARTINA</t>
  </si>
  <si>
    <t>QUISPE RAMOS, APOLINARIA</t>
  </si>
  <si>
    <t>RAMOS QUISPE, ADELIA</t>
  </si>
  <si>
    <t>LOAYZA RAMOS, MAURA</t>
  </si>
  <si>
    <t>RODAS SICHA, DIOMEDES</t>
  </si>
  <si>
    <t>CHIPANA PILLACA, CARMELA</t>
  </si>
  <si>
    <t>AREVALO GAMBOA, ISMAEL</t>
  </si>
  <si>
    <t>RAMOS DE LOAYZA, PAULA</t>
  </si>
  <si>
    <t>LOAYZA DE CHAVEZ, SABINA</t>
  </si>
  <si>
    <t>RAMOS DE ASEVEDO, PETRONILA</t>
  </si>
  <si>
    <t>RAMOS HUARHUACHI, SIMEON</t>
  </si>
  <si>
    <t>CONDOR HUARHUACHI, JULIAN</t>
  </si>
  <si>
    <t>GARCIA DE ISLACHIN, GUILLERMA</t>
  </si>
  <si>
    <t>GAMBOA PILLACA, LUCINDA</t>
  </si>
  <si>
    <t>GARCIA RAQUEL, ISLACHIN</t>
  </si>
  <si>
    <t>DIAZ CHIPANA, FLOR CHASKA</t>
  </si>
  <si>
    <t>PILLACA DIAZ, DEMETRIA</t>
  </si>
  <si>
    <t>JANAMPA MENDOZA, FULGENCIO</t>
  </si>
  <si>
    <t>PILLACA DE LLOCCLLA, EPIFANIA</t>
  </si>
  <si>
    <t>PARIONA DE PILLACA, EPIFANIA</t>
  </si>
  <si>
    <t>DIAZ NABARRO, BETZABE</t>
  </si>
  <si>
    <t>LLOCLLA PILLACA, RUTH</t>
  </si>
  <si>
    <t>MAYHUA CASTILLO, FILOMENA</t>
  </si>
  <si>
    <t>RIZALME LLOCCLLA DE PILLACA, MARIELA MANCY</t>
  </si>
  <si>
    <t>CONDOR DE LLOCLLA, FAUSTINA</t>
  </si>
  <si>
    <t>HUAMAN PILLACA, CARLITO VIDAL</t>
  </si>
  <si>
    <t>PILLACA PEREZ, OCTAVIO</t>
  </si>
  <si>
    <t>ARIAS HUARHUACHI, CORINA</t>
  </si>
  <si>
    <t>HUAMAN CCASANI, VENERANDA</t>
  </si>
  <si>
    <t>MENDOZA SICHA, NORMA</t>
  </si>
  <si>
    <t>LLOCLLA HUARI, ANGELICA</t>
  </si>
  <si>
    <t>JANANPA DE LLOCLLA, EMILIANA</t>
  </si>
  <si>
    <t>SICHA DE LLOCLLA, FELICIANA</t>
  </si>
  <si>
    <t>PILLACA QUISPE, FLODIA NELY</t>
  </si>
  <si>
    <t>LLOCLLA QUISPE, FELIX</t>
  </si>
  <si>
    <t>CHILENGANO PILLACA, FELICITAS</t>
  </si>
  <si>
    <t>CHILINGANO HUARI, SEBASTIANA</t>
  </si>
  <si>
    <t>PILLACA DIAZ, MARTHA</t>
  </si>
  <si>
    <t>SICHA QUISPE, VIRGUINIA</t>
  </si>
  <si>
    <t>RISALME LLOCLLA, DORIA</t>
  </si>
  <si>
    <t>CORDOVA HUARHUACHI, LOURDES</t>
  </si>
  <si>
    <t>CUEBAS HUACRE, ELIZABETH</t>
  </si>
  <si>
    <t>JORGE PILLACA, ZACARIAS</t>
  </si>
  <si>
    <t>QUISPE RAMOS, SIMEON</t>
  </si>
  <si>
    <t>SICHA CCASANI, MARIA</t>
  </si>
  <si>
    <t>HUARACA QUISPE, JUSTINA</t>
  </si>
  <si>
    <t>QUISPE PALOMINO, NELIDA</t>
  </si>
  <si>
    <t>PILLACA QUISPE, VICENTE</t>
  </si>
  <si>
    <t>HUARHUACHI DE PILLACA, JACINTA</t>
  </si>
  <si>
    <t>QUISPE HUARHUACHI, JULIA</t>
  </si>
  <si>
    <t>QUISPE PILLACA, MARIO</t>
  </si>
  <si>
    <t>PILLACA POMA, VICTORIA</t>
  </si>
  <si>
    <t>QUISPE LLOCLLA, ANTONIA</t>
  </si>
  <si>
    <t>PILLACA PILLACA, BEATRIZ ANDREA</t>
  </si>
  <si>
    <t>QUISPE HUARHUACHI, ALEJANDRO</t>
  </si>
  <si>
    <t>LLACTARIMAY HUARHUACHI, GERMAN</t>
  </si>
  <si>
    <t>QUISPE SICHA, REYNA</t>
  </si>
  <si>
    <t>RRAMOS GARCIA DE ZAMORA, EMILIA</t>
  </si>
  <si>
    <t>QUISPE AROHUILCA, NAQNCY</t>
  </si>
  <si>
    <t>CHILINGANO DE RAMOS, CARLOTA</t>
  </si>
  <si>
    <t>AQUISE RAMOS, MARCELINA</t>
  </si>
  <si>
    <t>LUDEÑA DE RIOS, EMILIA</t>
  </si>
  <si>
    <t>JORGE LLOCCLLA, PABLO</t>
  </si>
  <si>
    <t>ACEVEDO YAÑE, MILAGROS</t>
  </si>
  <si>
    <t>DE LA CRUZ ZAMORA,  CELIA</t>
  </si>
  <si>
    <t>NAUTO QUISPE, ALEJANDRO</t>
  </si>
  <si>
    <t>GOMEZ DE QUISPE, ALEJANDRA</t>
  </si>
  <si>
    <t>GONZALES GUIZADO, VILMA</t>
  </si>
  <si>
    <t>NAUTO CAYLLAHUA, DIONISIA</t>
  </si>
  <si>
    <t>GUTIERREZ NAVARRO, WENCESLAO</t>
  </si>
  <si>
    <t>AREAS CHUNBE, INMA</t>
  </si>
  <si>
    <t>PILLACA QUISPE, GUILLERMO</t>
  </si>
  <si>
    <t>CONDOR CACERES, JULIAN</t>
  </si>
  <si>
    <t>YAÑEZ GONZALES, EULOGIO</t>
  </si>
  <si>
    <t>LAGOS NAJARRO, REYNA</t>
  </si>
  <si>
    <t>MEZA GUTIERREZ, LUZMILA</t>
  </si>
  <si>
    <t>HUAYLLASCO DE PILLACA, BASILISA</t>
  </si>
  <si>
    <t>HUAYLLASCO PALOMINO, JORGE JUNIOR</t>
  </si>
  <si>
    <t>CORDOVA CAYLLAHUA, SILVIA</t>
  </si>
  <si>
    <t>CURO CHUMBE, LUIS MIGUEL</t>
  </si>
  <si>
    <t>QUISPE HUACRE, FELICITAS</t>
  </si>
  <si>
    <t>HUACRE GUTIERREZ, ARMANDO</t>
  </si>
  <si>
    <t>NAUTO VDA DE CONDOR, JULIA</t>
  </si>
  <si>
    <t>QUISPE PALOMINO, EDITH</t>
  </si>
  <si>
    <t>PILLACA RAMOS, TIBURCIO</t>
  </si>
  <si>
    <t>LUNA DE ROCA, JULIA</t>
  </si>
  <si>
    <t>HUARHUACHI ACEBEDO, FESTER</t>
  </si>
  <si>
    <t>CONDOR REYNA, RISALME</t>
  </si>
  <si>
    <t>HUAYLLASCO PILLACA, CLAUDIO</t>
  </si>
  <si>
    <t>CONDOR RAMOS, EPIFANIA</t>
  </si>
  <si>
    <t>RICHARTE HUAMAN, ROSSY</t>
  </si>
  <si>
    <t>CONTRERAS CCASANI, DANIEL</t>
  </si>
  <si>
    <t>QUISPE DE QUISPE, JUANA PAULA</t>
  </si>
  <si>
    <t>GARCIA SICHA, ARMANDO</t>
  </si>
  <si>
    <t>ERAZO NAUTO, LUCIA</t>
  </si>
  <si>
    <t>ERAZO NAUTO, SEBASTIANA</t>
  </si>
  <si>
    <t>CONDOR PILLACA, VICTORIA</t>
  </si>
  <si>
    <t>AQUISE DE PILLACA, ROSALIA</t>
  </si>
  <si>
    <t>PILLACA AQUISE, FELIX SIMEON</t>
  </si>
  <si>
    <t>SILVERA ROMERO, CRISTINA</t>
  </si>
  <si>
    <t>CONDOR PALOMINO, JULIO</t>
  </si>
  <si>
    <t>TALAVERANO MEDINA, MARI LUZ</t>
  </si>
  <si>
    <t>CONDOR PILLACA, ENCARNACION</t>
  </si>
  <si>
    <t>OLARTE CONDOR, MARTA</t>
  </si>
  <si>
    <t>QUISPE RAMOS, ANGELICA</t>
  </si>
  <si>
    <t>LLOCCLLA JANAMPA, FRANCISCO</t>
  </si>
  <si>
    <t>URPE ROCA, FELICITAS</t>
  </si>
  <si>
    <t>QUISPE HUAMAN, BARTOLOME</t>
  </si>
  <si>
    <t>PILLACA DE OLARTE, MARIA</t>
  </si>
  <si>
    <t>QUISPE AQUISE, ALBERTO</t>
  </si>
  <si>
    <t>OLARTE HUARACA, DONATO</t>
  </si>
  <si>
    <t>NAUTO CONDOR, FELIX</t>
  </si>
  <si>
    <t>QUISPE LIZARME, JUSTINA</t>
  </si>
  <si>
    <t>HUARHUACHI VDA. DE HUAMAN, VIRGINIA</t>
  </si>
  <si>
    <t>MENDEZ MONTOYA, JULIA TEOFILA</t>
  </si>
  <si>
    <t>GARCIA SICHA, MARIA</t>
  </si>
  <si>
    <t>PALOMINO OLARTE, NICOLAS</t>
  </si>
  <si>
    <t>GARCIA SICHA, GUALBERTO</t>
  </si>
  <si>
    <t>PILLACA QUISPE, EPIFANIA</t>
  </si>
  <si>
    <t>HUARACA GARCIA, EULOGIO</t>
  </si>
  <si>
    <t>PILLACA SICHA, GREGORIO</t>
  </si>
  <si>
    <t>JANANPA AQUISE DE PILLACA, MAURA</t>
  </si>
  <si>
    <t>HUAYLLASCO SALVADOR, DIONISIO</t>
  </si>
  <si>
    <t>HUARACA RAMOS, MARIANO</t>
  </si>
  <si>
    <t>GARCIA MENDOZA, AGUSTIN</t>
  </si>
  <si>
    <t>GARCIA MENDOZA, PABLO</t>
  </si>
  <si>
    <t>GARCIA SICHA, FLORENCIO</t>
  </si>
  <si>
    <t>DIAS ACHA, MARIA</t>
  </si>
  <si>
    <t>SALCEDO HUACRE, MIRIAN</t>
  </si>
  <si>
    <t>SOTO AQUISE, MARGOTH</t>
  </si>
  <si>
    <t>ISLACHIN DE SALBADOR, LUCIA</t>
  </si>
  <si>
    <t>AQUISE DIAZ, FILOMENA TEODORA</t>
  </si>
  <si>
    <t>ALVAREZ ALARCON, AURELIA</t>
  </si>
  <si>
    <t>SICHA SIHUE, MOISES</t>
  </si>
  <si>
    <t>DIAZ SICHA, MARGARITA</t>
  </si>
  <si>
    <t>LIZARME CURO, SERAFINA CIRIANA</t>
  </si>
  <si>
    <t>HUARHUACHI GUTIERREZ, ALVINA ISIDORA</t>
  </si>
  <si>
    <t>SICHA HUARACA, ELEODORA</t>
  </si>
  <si>
    <t>RAMOS CHIPANA, MELANIA</t>
  </si>
  <si>
    <t>RODAS HUARHUACHI, FELICIANA</t>
  </si>
  <si>
    <t>ALCARRAZ ZEBANA, JUSTINA</t>
  </si>
  <si>
    <t>CACERES YSLACHIN, CELSO</t>
  </si>
  <si>
    <t>SICHA HUARHUACHI, YANET SILVIA</t>
  </si>
  <si>
    <t>DIAZ DE HUARHUACHA, BARBARA</t>
  </si>
  <si>
    <t>GUTIERREZ VILITA, RUBEN</t>
  </si>
  <si>
    <t>YARO TORRES, LUCIA</t>
  </si>
  <si>
    <t>VILETA SUTACURO, JUANA</t>
  </si>
  <si>
    <t>HUANACO QUISPE, DONATO</t>
  </si>
  <si>
    <t>CORONADO MEDINA, ANDREA</t>
  </si>
  <si>
    <t>DIAS PILLACA, ALEJANDRA</t>
  </si>
  <si>
    <t>RODRIGUEZ HERRERA, NELI</t>
  </si>
  <si>
    <t>CASAPAYCO TRONCOSO, SABINO</t>
  </si>
  <si>
    <t>CASAPAICO CURO, MARINA</t>
  </si>
  <si>
    <t>DIAZ ISLACHIN, FILOMENA</t>
  </si>
  <si>
    <t>BAES GUTIERREZ, IRENE</t>
  </si>
  <si>
    <t>ALCARRAZ QUISPE, FELIX</t>
  </si>
  <si>
    <t>QUISPE SICHA, LUCILA</t>
  </si>
  <si>
    <t>ALCARRAZ QUISPE, JONAS</t>
  </si>
  <si>
    <t>PILLACA DE QUISPE, JACINTA</t>
  </si>
  <si>
    <t>AQUISE LLACCTARIMAY, TEOFILA</t>
  </si>
  <si>
    <t>JANANPA GAVILAN, MANUEL</t>
  </si>
  <si>
    <t>PILLACA DIAS, CESAR</t>
  </si>
  <si>
    <t>HUACRE PILLACA, NOEMI</t>
  </si>
  <si>
    <t>HUARHUACHI DIAZ, LUCHO</t>
  </si>
  <si>
    <t>DIAZ QUISPE, FRANCISCO NARCISO</t>
  </si>
  <si>
    <t>QUISPE HUARACA, REIMUNDO DE PEÑAFORT</t>
  </si>
  <si>
    <t>QUISPE GARCIA, CANDELARIO</t>
  </si>
  <si>
    <t>CASTRO YAURI, GREGORIA</t>
  </si>
  <si>
    <t>NAUTO QUISPE, OSCAR</t>
  </si>
  <si>
    <t>SICHA CCASANI, NIEVES</t>
  </si>
  <si>
    <t>CASANI AQUISE, FELICIANA</t>
  </si>
  <si>
    <t>HUACRE LIZARME, DAVID</t>
  </si>
  <si>
    <t>PILLACA QUISPE, ESTANISLOA</t>
  </si>
  <si>
    <t>CHAVEZ CRUZ, DELIA</t>
  </si>
  <si>
    <t>GUTIERREZ HUARHUACHI, MARGARITA</t>
  </si>
  <si>
    <t>ROJAS LOAYZA, ANTONIO</t>
  </si>
  <si>
    <t>AREVALO DIAZ, DOMITILA</t>
  </si>
  <si>
    <t>AQUISE PILLACA, MARCELINO</t>
  </si>
  <si>
    <t>QUISPE PILLACA, DELIA</t>
  </si>
  <si>
    <t>HUARHUACHI DE GARCIA, PETRONILA</t>
  </si>
  <si>
    <t>SACCACO HUARHUACHI, ROBERTA</t>
  </si>
  <si>
    <t>PALOMINO HUAYLLASCO, JULIA</t>
  </si>
  <si>
    <t>GARCIA PILLACA, LUCIO</t>
  </si>
  <si>
    <t>RANRACANCHA</t>
  </si>
  <si>
    <t>PILLACA ALFARO, SONIA</t>
  </si>
  <si>
    <t>CONDOR ARANGO, CELINA</t>
  </si>
  <si>
    <t>OLIVARES DE GUZMAN, DONATILA</t>
  </si>
  <si>
    <t>OROSCO ANDRADA, FORTUNATO</t>
  </si>
  <si>
    <t>FILOMENA VALLAR, JUSTINA</t>
  </si>
  <si>
    <t>NAVEROS HUANCA, AMADEO</t>
  </si>
  <si>
    <t>CCORIMANYA BANDA, MARGARITA</t>
  </si>
  <si>
    <t>ARANGO HUANCA, CESAR</t>
  </si>
  <si>
    <t>MOZO DE CARDENAS, JUANA</t>
  </si>
  <si>
    <t>ESPINOZA SEANCAS, FORTUNATA</t>
  </si>
  <si>
    <t>GAMBOA ESPINOZA, DONATILA</t>
  </si>
  <si>
    <t>CHIPANA GUTIERREZ, JAVIER</t>
  </si>
  <si>
    <t>MOZO CAYLLAHUA, ROSA</t>
  </si>
  <si>
    <t>LEON ORE, FELIX</t>
  </si>
  <si>
    <t>MOZO LEON, FELIX</t>
  </si>
  <si>
    <t>GAMBOA ESPINOZA, CONCEPCION</t>
  </si>
  <si>
    <t>LEON LEON, DINA MARCELINA</t>
  </si>
  <si>
    <t>PASCUAL DE NAVARRO, MAGDALENA</t>
  </si>
  <si>
    <t>CALI CARDENAS, NATALIA</t>
  </si>
  <si>
    <t>ESPINOZA CALI, MARINA</t>
  </si>
  <si>
    <t>CASAFRANCA CHUNGUI, ALFONSO</t>
  </si>
  <si>
    <t>VILLANO LEON, JUAN JULIAN</t>
  </si>
  <si>
    <t>ESPINOZA CALI, ANA MARIA</t>
  </si>
  <si>
    <t>VERA  DE CCORIMANYA, NINFA AVELINA</t>
  </si>
  <si>
    <t>LEON CHUNGUI, FREDY</t>
  </si>
  <si>
    <t>CCORIMANYA CHUNGUI, TEOFILA</t>
  </si>
  <si>
    <t>RAMOS YUPANQUI, ROSALIA</t>
  </si>
  <si>
    <t>HUAMAN LEON, TEODOCIA</t>
  </si>
  <si>
    <t>VILLANO CHUI, MAXIMO</t>
  </si>
  <si>
    <t>VILLANO SOCA, MARINA</t>
  </si>
  <si>
    <t>DEL POZO LEON, GUDELIA</t>
  </si>
  <si>
    <t>GUTIERREZ LEON, AURELIA</t>
  </si>
  <si>
    <t>CRUZ PASCUAL, VICTORIA</t>
  </si>
  <si>
    <t>GUTIERREZ LEON, EUGENIA</t>
  </si>
  <si>
    <t>LEON CCORIMANYA, ISIDORA</t>
  </si>
  <si>
    <t>NAVARRO GUTIERREZ, SOFIA</t>
  </si>
  <si>
    <t>LLOCCLLA LUJAN, LEONOR</t>
  </si>
  <si>
    <t>CHILENGANO AQUISE, HERACLEDEZ</t>
  </si>
  <si>
    <t>MENDOZA PILLACA, REGINA</t>
  </si>
  <si>
    <t>CASAFRANCA MENDOZA, FRANCISCO</t>
  </si>
  <si>
    <t>AQUISE HUANCA, EDUARDO VENANCIO</t>
  </si>
  <si>
    <t>SALAZAR BARZOLA, CELIA</t>
  </si>
  <si>
    <t>SALAS SALAZAR, GLECERIA</t>
  </si>
  <si>
    <t>ROJAS RUA, MELANIA</t>
  </si>
  <si>
    <t>VILLACRESES GONZALES, ALFREDO</t>
  </si>
  <si>
    <t>CAJAMARCA HUAMAN, ELIAS</t>
  </si>
  <si>
    <t>RAMOS GUTIERREZ, YESICA</t>
  </si>
  <si>
    <t>PACHECO ORE, MEDREY</t>
  </si>
  <si>
    <t>CCORIMANYA BERA, VICTORIA</t>
  </si>
  <si>
    <t>CCORIMANYA DE BARZOLA, CARMEN</t>
  </si>
  <si>
    <t>NAVARRO DE CRUZ, EUGENIA</t>
  </si>
  <si>
    <t>LEON VILLANO, FELIX</t>
  </si>
  <si>
    <t>VILLANO CHUI, FELICITAS</t>
  </si>
  <si>
    <t>VILCHEZ LEON, SANTIAGO</t>
  </si>
  <si>
    <t>QUISPE ELLISCA, HONORATA</t>
  </si>
  <si>
    <t>ACUÑA VILCHEZ, GUMERCINDA</t>
  </si>
  <si>
    <t>AYVAR PALOMINO, WASHINGTON</t>
  </si>
  <si>
    <t>CORDOVA SOTELO, CLEOFE MARCELINA</t>
  </si>
  <si>
    <t>GARCIA LEYVA, ALAN</t>
  </si>
  <si>
    <t>GUIZADO CALDERON, EULOGIA</t>
  </si>
  <si>
    <t>GUZMAN PACHECO, GRICELDA</t>
  </si>
  <si>
    <t>QUISPE PALOMINO, LEONOR</t>
  </si>
  <si>
    <t>CUADROS HUAMAN, ANTONIA</t>
  </si>
  <si>
    <t>HUAYANA GUZMAN, AUGUSTO</t>
  </si>
  <si>
    <t>LEYVA DE GARCIA, IRMA</t>
  </si>
  <si>
    <t>ENRIQUES PEÑA, RONALD CONSTANTINO</t>
  </si>
  <si>
    <t>JUNCO NAVEROS, DINA</t>
  </si>
  <si>
    <t>CASTRO LIMA, PRUDENCIO</t>
  </si>
  <si>
    <t>PALOMINO CASAFRANCA, GLISERIA</t>
  </si>
  <si>
    <t>BUENDIA VILLANO, HIPOLITA</t>
  </si>
  <si>
    <t>CASAFRANCA SIANCAS, SATURNINO</t>
  </si>
  <si>
    <t>CASAFRANCA RAMIREZ, HIPOLITO EPIFANIO</t>
  </si>
  <si>
    <t>RAMIREZ BARZOLA, LORENZA</t>
  </si>
  <si>
    <t>QUISPE DE GOMEZ, SATURNINA</t>
  </si>
  <si>
    <t>MENDEZ PARIONA, JULIA</t>
  </si>
  <si>
    <t>HUACRE HUAMAN, MARIANO</t>
  </si>
  <si>
    <t>DIAZ QUISPE, EULOGIA</t>
  </si>
  <si>
    <t>PACHECO PALOMINO, JUSTINIANO</t>
  </si>
  <si>
    <t>CACERES PACHECO, DIONISIA</t>
  </si>
  <si>
    <t>CASAFRANCA HERAZO DE VILLANO, ALBINA</t>
  </si>
  <si>
    <t>BUENDIA DE OSCCO, JUANA</t>
  </si>
  <si>
    <t>MOZO DE PALOMINO, ELENA EMPERATRIZ</t>
  </si>
  <si>
    <t>CASAFRANCA DE VILLANO, JUSTINA</t>
  </si>
  <si>
    <t>SULCA DE CCORAHUA, NORMA</t>
  </si>
  <si>
    <t>PALOMINO MOZO, GLORIA HAYDEE</t>
  </si>
  <si>
    <t>LEON GAMBOA, TORIBIO</t>
  </si>
  <si>
    <t>MENDEZ CCAHUANA, JUANITA FELICITAS</t>
  </si>
  <si>
    <t>OSCCO PACHECO, REVECA</t>
  </si>
  <si>
    <t>VILLANO DE BUENDIA, ROSA</t>
  </si>
  <si>
    <t>NOLBERTO QUISPE, TADEO</t>
  </si>
  <si>
    <t>RIVERA GUTIERREZ, MELQUIADES</t>
  </si>
  <si>
    <t>TOLEDO GUZMAN, MARLINY</t>
  </si>
  <si>
    <t>GUZMAN PEREZ, MARCIANO</t>
  </si>
  <si>
    <t>VILLANO DE PACHECO, MARIA</t>
  </si>
  <si>
    <t>CASAFRANCA GUTIERREZ, LUDMILA</t>
  </si>
  <si>
    <t>HUAPAYA SUSAYA, DELIA</t>
  </si>
  <si>
    <t>LEYVA SUSAYA, AURELIO</t>
  </si>
  <si>
    <t>OSCCO HUANACO, LEONOR</t>
  </si>
  <si>
    <t>CARDENAS MANCILLA, GREGORIO</t>
  </si>
  <si>
    <t>VILLEGAS DE QUISPE, FERNANDINA</t>
  </si>
  <si>
    <t>ÑAHUIS HUAMAN, FELIX</t>
  </si>
  <si>
    <t>PACHECO DE ALDUNATE, EMILIA</t>
  </si>
  <si>
    <t>DELGADO SARMIENTO, TEODORA</t>
  </si>
  <si>
    <t>PAREDES ROCA, HORTENCIA</t>
  </si>
  <si>
    <t>CCORAHUA INFANTES, SARA</t>
  </si>
  <si>
    <t>PIZARRO TELLO, JOSEFA</t>
  </si>
  <si>
    <t>MANCILLA JUNCO, MARIA JESUS</t>
  </si>
  <si>
    <t>SALVATIERRA MANCILLA, ALINA NATALIA</t>
  </si>
  <si>
    <t>CASTRO RAMIREZ, ZONIA</t>
  </si>
  <si>
    <t>TORRES CARDENAS, TERESA</t>
  </si>
  <si>
    <t>SAYAVERDE DE CORDOVA, ROSARIO</t>
  </si>
  <si>
    <t>VASQUEZ MOZO, OLGA DOMINGA</t>
  </si>
  <si>
    <t>PEÑAFIEL LEGUIA, ESPERANZA</t>
  </si>
  <si>
    <t>CCORIMANYA TECCSI, PAULINA</t>
  </si>
  <si>
    <t>VASQUEZ CONDOR, CRISTINA</t>
  </si>
  <si>
    <t>ROJAS CONDOR, DONATILA</t>
  </si>
  <si>
    <t>HUAMAN PALOMINO, PABLO</t>
  </si>
  <si>
    <t>CONDOR LEON, JULIO</t>
  </si>
  <si>
    <t>ZEVALLOS ROJAS, JUSTINA</t>
  </si>
  <si>
    <t>ZEBALLOS ROJAS, JUBETA</t>
  </si>
  <si>
    <t>LEON PALOMINO, GENOVEVA</t>
  </si>
  <si>
    <t>ROJAS VILLANO, ALEJANDRA</t>
  </si>
  <si>
    <t>ROJAS CARDENAS, ANTONIO SEGUNDINO</t>
  </si>
  <si>
    <t>ZEVALLOS ARIAS, NARCISO</t>
  </si>
  <si>
    <t>RIVERA ESPINOZA, DELIA</t>
  </si>
  <si>
    <t>ROJAS CONDOR, FLORENCIA</t>
  </si>
  <si>
    <t>ROJAS CONDOR, HILDA</t>
  </si>
  <si>
    <t>VILCHEZ PACHECO, LIDIA</t>
  </si>
  <si>
    <t>VILLACRESIS DE RAMOS, VICTORIA</t>
  </si>
  <si>
    <t>VILCHEZ SIANCAS, OCTAVIA</t>
  </si>
  <si>
    <t>CORONADO VILCHES, OLINDA</t>
  </si>
  <si>
    <t>VILCHEZ SEANCAS, MAXIMINA</t>
  </si>
  <si>
    <t>CURI SUSAYA, MAXIMO</t>
  </si>
  <si>
    <t>ÑAHUIS VILCHEZ, CLAUDIO VICTOR</t>
  </si>
  <si>
    <t>ESPINOZA VILCHEZ, MARCELINA</t>
  </si>
  <si>
    <t>ÑAHUIS VILCHES, EULOGIA CONSTANTINA</t>
  </si>
  <si>
    <t>POZO BULEJE, JUAN</t>
  </si>
  <si>
    <t>LEON RAMIREZ, DALMIRO</t>
  </si>
  <si>
    <t>ESPINOZA VILCHEZ, DINA</t>
  </si>
  <si>
    <t>CAYLLAHUA CACERES, JULIA</t>
  </si>
  <si>
    <t>DEL POZO, VILCHEZ SOFIA</t>
  </si>
  <si>
    <t>SALAZAR CORONEL, MARINA</t>
  </si>
  <si>
    <t>MARTINEZ VILCHEZ, JONATHAN</t>
  </si>
  <si>
    <t>PUCA VILCHEZ, MARGARITA</t>
  </si>
  <si>
    <t>LAGO ZEVALLOS, LIDIA</t>
  </si>
  <si>
    <t>RAMOS PILLACA, FELICITAS</t>
  </si>
  <si>
    <t>LEON CORONADO, VIDAL</t>
  </si>
  <si>
    <t>GAYO CORONADO, JULIA</t>
  </si>
  <si>
    <t>NAUTO PARIONA DE VILCHEZ, ROSA MARIA</t>
  </si>
  <si>
    <t>UTANI ALCARRAZ, CRISTINA</t>
  </si>
  <si>
    <t>ORTIZ ARGUMEDO, FEDERICO</t>
  </si>
  <si>
    <t>CHIPANA MENDOZA, MODESTA</t>
  </si>
  <si>
    <t>CAYLLAHUA ZAMORA, VICENTANA</t>
  </si>
  <si>
    <t>ORTEGA RAMIREZ, VICTORIA</t>
  </si>
  <si>
    <t>CAYLLOA VICENTE, CANDELARIA</t>
  </si>
  <si>
    <t>ISLA RAMIREZ, PAULA</t>
  </si>
  <si>
    <t>ISLA DE CEBRIAN, DONATILDA</t>
  </si>
  <si>
    <t>CORONADO ORTEGA, JHON</t>
  </si>
  <si>
    <t>VILCHEZ SUSAYA, ELIZABETH</t>
  </si>
  <si>
    <t>SUSAYA DE VILCHEZ, FLORENCIA</t>
  </si>
  <si>
    <t>QUISPE VILCHEZ, CARMEN</t>
  </si>
  <si>
    <t>ESPINOZA VILLANO, AURELIA</t>
  </si>
  <si>
    <t>SOTO SALAZAR, OLGA</t>
  </si>
  <si>
    <t>CUADROS SAN JUAN, FELICITAS</t>
  </si>
  <si>
    <t>VILCHEZ SOTO, HEDRAS MARISOL</t>
  </si>
  <si>
    <t>RAMOS SALCEDO, JUSTO</t>
  </si>
  <si>
    <t>RAMOS LEGUIA, ZAIDA</t>
  </si>
  <si>
    <t>MARTINEZ CARRASCO, MERY</t>
  </si>
  <si>
    <t>CCAICURI HUAMAN, SERAFINA</t>
  </si>
  <si>
    <t>PANDAL CARDENAS, ALBERTO</t>
  </si>
  <si>
    <t>ROJAS DE ACUÑA, DONATILA</t>
  </si>
  <si>
    <t>MAYTAN SALAS, SABINA</t>
  </si>
  <si>
    <t>ARANGO QUISPE, MARILUZ</t>
  </si>
  <si>
    <t>TELLO SUSAYA, ELENA</t>
  </si>
  <si>
    <t>PACHECO ZEA, ALEJANDRINA</t>
  </si>
  <si>
    <t>SUSAYA SANTA CRUZ, CATALINA</t>
  </si>
  <si>
    <t>DIAZ TELLO, ANTONIA LUCY</t>
  </si>
  <si>
    <t>JUNCO HUAMANCULI, MANUEL DESIDERIO</t>
  </si>
  <si>
    <t>VILCHEZ ORTIZ, CIRILA</t>
  </si>
  <si>
    <t>PEREZ CONDOR, TEODOCIO</t>
  </si>
  <si>
    <t>LEON CARDENAS, PABLO</t>
  </si>
  <si>
    <t>ONGOY</t>
  </si>
  <si>
    <t>TENORIO CORDOVA, MARIA</t>
  </si>
  <si>
    <t>CIPRIAN CASTRO, JUSTINA</t>
  </si>
  <si>
    <t>JUNCO CCORIHUAMAN, RAIDA</t>
  </si>
  <si>
    <t>ACOSTA LLOCLLA, VIRGILIO</t>
  </si>
  <si>
    <t>QUISPE MIRANDA, JUAN</t>
  </si>
  <si>
    <t>LLOCLLA GUZMAN, INES</t>
  </si>
  <si>
    <t>QUISPE VARGAS, FRANCISCO</t>
  </si>
  <si>
    <t>CORONADO GUEVARA, NINFA</t>
  </si>
  <si>
    <t>MENECES REYNAGA, DONATILA</t>
  </si>
  <si>
    <t>CORONADO HUAMAN, DURCAS</t>
  </si>
  <si>
    <t>HUYANA TITO, NILDA</t>
  </si>
  <si>
    <t>HUAYANA TITO, MARIA</t>
  </si>
  <si>
    <t>CURI CCORAHUA, OSCAR</t>
  </si>
  <si>
    <t>NIETO TORRES, GUILLERMO</t>
  </si>
  <si>
    <t>CRUZ PILLACA, NANCY</t>
  </si>
  <si>
    <t>PORRAS RISCO, ALIPIO</t>
  </si>
  <si>
    <t>MALLQUI NACERITA, RUA</t>
  </si>
  <si>
    <t>CCAHUANA LIZANA, EMILIA</t>
  </si>
  <si>
    <t>ALARCON CORONADO, NANCY</t>
  </si>
  <si>
    <t>RISCO OLARTE, CARMELON</t>
  </si>
  <si>
    <t>ELISES CCASANI, LUNAR DELFIN</t>
  </si>
  <si>
    <t>GONZALES POZO, ELENA</t>
  </si>
  <si>
    <t>LLOCCLLA AYALA, LEONARDO SACARIAS</t>
  </si>
  <si>
    <t>LLOCLLA PILLACA, GLADYS</t>
  </si>
  <si>
    <t>POZO HERRERA, TEODULO</t>
  </si>
  <si>
    <t>TORRES SALAZAR, LORENZA</t>
  </si>
  <si>
    <t>CORONADO DE ALARCON, CELEDONIO</t>
  </si>
  <si>
    <t>HERRERA GUEVARA DE MALLQUI, RICARDINA</t>
  </si>
  <si>
    <t>CHAVEZ CAROLINA, SULCA</t>
  </si>
  <si>
    <t>NIETO TORRES, TEODORA</t>
  </si>
  <si>
    <t>RECHARTE AGUILAR, AMACIO</t>
  </si>
  <si>
    <t>HEREDIA RAMIREZ, LEVI</t>
  </si>
  <si>
    <t>ALFARO ARROYO, PAULINA MARCELINA</t>
  </si>
  <si>
    <t>PANIORA CHATE, ROBERTO</t>
  </si>
  <si>
    <t>ARROYO TRONCOSO, FERMINA</t>
  </si>
  <si>
    <t>CCELLCCASCCA CURI, ALBERTA</t>
  </si>
  <si>
    <t>CCELLCCASCCA CURI, ROSA</t>
  </si>
  <si>
    <t>CCORAHUA LUJAN, OLGA</t>
  </si>
  <si>
    <t>LOPEZ CAVIDES, ROSARIO CONCEPCION</t>
  </si>
  <si>
    <t>MENDOZA ARONE, HEBERT</t>
  </si>
  <si>
    <t>RICRA ROMAN, LUDEÑA</t>
  </si>
  <si>
    <t>ROMAN HERMOZA, REYNA NANCY</t>
  </si>
  <si>
    <t>ROMAN CURI, VICTOR</t>
  </si>
  <si>
    <t>BARRIAL HUAMAN, GLORIA</t>
  </si>
  <si>
    <t>CURI LUDEÑA, FLORA</t>
  </si>
  <si>
    <t>ROMAN CARI, SIMON</t>
  </si>
  <si>
    <t>CACERES PACHECO, DONATA</t>
  </si>
  <si>
    <t>ROMAN TAYPE, MARIA FLOR</t>
  </si>
  <si>
    <t>HUAMAN CCELLCCASCCA, FERNANDO</t>
  </si>
  <si>
    <t>SANCHEZ GUTIERREZ, JANET</t>
  </si>
  <si>
    <t>SALAS CCORAHUA, IRENE</t>
  </si>
  <si>
    <t>CACNCHARI TORRE, JULIA</t>
  </si>
  <si>
    <t>LIZANA MALLMA, CLAUDIO</t>
  </si>
  <si>
    <t>HUAMANI ROMAN, PABLO</t>
  </si>
  <si>
    <t>CURI CCELLCCACCA, CLAUDIA</t>
  </si>
  <si>
    <t>HUAMANI CCELLCCASCCA, SEBASTIANA</t>
  </si>
  <si>
    <t>ROMAN MALLMA, PELAYO</t>
  </si>
  <si>
    <t>CURI CCELLCCASCCA, VICTOR</t>
  </si>
  <si>
    <t>PARRAGA LOZANO, ELSA DORIS</t>
  </si>
  <si>
    <t>ORE CURI, MARTHA</t>
  </si>
  <si>
    <t>RICRA ALDONATE, MARMEN ROSA</t>
  </si>
  <si>
    <t>BALDEON CCELLCCASCCA, ALICIA</t>
  </si>
  <si>
    <t>CORONADO SOLIS, CONSTANTINO</t>
  </si>
  <si>
    <t>VILLANO DE GOMES, MERCEDES</t>
  </si>
  <si>
    <t>CCARAHUA ALTAMIRANO, CAYETANA</t>
  </si>
  <si>
    <t>CASTRO CCORAHUA, LINA</t>
  </si>
  <si>
    <t>LUJAN BALDEON, SANTOSA</t>
  </si>
  <si>
    <t>VILLANO RUFINA, RUFINA</t>
  </si>
  <si>
    <t>PACHECO CASTRO, SONIA</t>
  </si>
  <si>
    <t>LUDEÑA PEREZ DE CURI, MANUELA</t>
  </si>
  <si>
    <t>CASTRO DE CURI, ALBERTA</t>
  </si>
  <si>
    <t>CCORAHUA TALAVERANO, VICENTE RICARDO</t>
  </si>
  <si>
    <t>TURPO CCUNO, ROBERTA</t>
  </si>
  <si>
    <t>ROMAN VASQUEZ, BENANCIO DONATO</t>
  </si>
  <si>
    <t>CCORAHUA TALAVERANO, MILICIA</t>
  </si>
  <si>
    <t>NOLBERTO RICRA, ABEL</t>
  </si>
  <si>
    <t>RIVERA SANCHEZ, MIRIAN</t>
  </si>
  <si>
    <t>CCORAHUA ALTAMIRANO, ANGELICA</t>
  </si>
  <si>
    <t>CCORAHUA ALTAMIRANO, SANTIAGO</t>
  </si>
  <si>
    <t>CCELLCCASCCA VILLANO, DORA</t>
  </si>
  <si>
    <t>SANCHEZ CURI, CARMELA</t>
  </si>
  <si>
    <t>CCORAHUA HUAMAN, MARGOTH</t>
  </si>
  <si>
    <t>SALAS LOPEZ, NELIDA HILDA</t>
  </si>
  <si>
    <t>SALAS LIZANA, EGUIDEO ALEJANDRO</t>
  </si>
  <si>
    <t>SOTELO LARA, DIONISIO</t>
  </si>
  <si>
    <t>MOZO DE CASAFRANCA, DOMITILDA</t>
  </si>
  <si>
    <t>HUAMAN HUACRE, MARGARITA</t>
  </si>
  <si>
    <t>HUAMAN HUACRE, CLEMENTINA</t>
  </si>
  <si>
    <t>LAURA VELASQUE, BENEDICTA</t>
  </si>
  <si>
    <t>ARROYO ACOSTO, FRANCISCA</t>
  </si>
  <si>
    <t>QUISPE CCAHUANA, MARIELA</t>
  </si>
  <si>
    <t>PACHECO TITO, WALTER</t>
  </si>
  <si>
    <t>SAURIAGA CACERES, EPIFANIO</t>
  </si>
  <si>
    <t>VALENCIA VILLANO, JUSTINA</t>
  </si>
  <si>
    <t>HUAMANI HUAMAN, SANTIAGO</t>
  </si>
  <si>
    <t>LEON HUAMAN, NORMA</t>
  </si>
  <si>
    <t>DERNANDES MONTES, LIDIA</t>
  </si>
  <si>
    <t>ADUNANTE HUAMANI, LUISA</t>
  </si>
  <si>
    <t>GUTIERREZ CORONADO, ROLANDO</t>
  </si>
  <si>
    <t>SANCHEZ HUACHACA, VICTOR</t>
  </si>
  <si>
    <t>FLORES BALDEON, EDUVIGUES</t>
  </si>
  <si>
    <t>OSCCO DE CACERES, VIRGINIA</t>
  </si>
  <si>
    <t>CORONADO RICRA, GUILLERMO</t>
  </si>
  <si>
    <t>SANCHEZ DE SULCA, ZENOBIA</t>
  </si>
  <si>
    <t>BALDEON SULCA, JUANA</t>
  </si>
  <si>
    <t>BALDEON TITO, JUANA</t>
  </si>
  <si>
    <t>FAUSTINO PRESENTACION, MARCELA</t>
  </si>
  <si>
    <t>GUZMAN ALTOS, CELEDONIA</t>
  </si>
  <si>
    <t>CORONADO SOLIS, PABLO</t>
  </si>
  <si>
    <t>SOLIS DE CORONADO, MAXIMINA</t>
  </si>
  <si>
    <t>CORONADO BALDEON, TEODORO</t>
  </si>
  <si>
    <t>ROJAS ALFARO, MARIA JESUS</t>
  </si>
  <si>
    <t>VILLANO GUTIERREZ, GABRIEL</t>
  </si>
  <si>
    <t>GUTIERREZ SANCHEZ, JULIA</t>
  </si>
  <si>
    <t>VILLANO MALPARTIDA DE TITO, CAYETANA</t>
  </si>
  <si>
    <t>SANCHEZ UBAQUI DE OSCCO, TEOFILA</t>
  </si>
  <si>
    <t>VILLANO SANCHEZ, ANGELICA</t>
  </si>
  <si>
    <t>CORONADO SOLIS, FELIX</t>
  </si>
  <si>
    <t>FLORES BALDEON, BEATRIZ</t>
  </si>
  <si>
    <t>VILLANO GUTIERREZ, FLORENCIO</t>
  </si>
  <si>
    <t>SOLIS GUZMAN, DIONICIO</t>
  </si>
  <si>
    <t>SOLIS NOLBERTO, YENNY</t>
  </si>
  <si>
    <t>REINAGA CORONADO, GREGORIO</t>
  </si>
  <si>
    <t>CORONADO GUTIERREZ, ANDRES</t>
  </si>
  <si>
    <t>SANCHEZ MALPARTIDA, MIGUEL</t>
  </si>
  <si>
    <t>SANCHEZ REYNAGA, BENJAMIN</t>
  </si>
  <si>
    <t>BALDEON VILLANO, LILIANA</t>
  </si>
  <si>
    <t>TITO SANCHEZ DE ZAMORA, FLORA</t>
  </si>
  <si>
    <t>LIZANA DE GUZMAN, AURORA</t>
  </si>
  <si>
    <t>TITO  GUZMAN, MARCELINA</t>
  </si>
  <si>
    <t>FLORES BALDEON, DOROTEO</t>
  </si>
  <si>
    <t>LEON ARROYO, EUGENIO</t>
  </si>
  <si>
    <t>SALAS LEON, RAIDA MARGARITA</t>
  </si>
  <si>
    <t>ELICES CACERES, JORGE</t>
  </si>
  <si>
    <t>GUSMAN Y GUTIERREZ, GUDENCIA HERLINDO</t>
  </si>
  <si>
    <t>MENDOZA ROMAN, SEGUNDINO</t>
  </si>
  <si>
    <t>TAIPE CCELLCCASCCA, JULIO</t>
  </si>
  <si>
    <t>SULCANO MENDOZA, GRACIANO</t>
  </si>
  <si>
    <t>LUDEÑA MENDOZA, JUAN CARLOS</t>
  </si>
  <si>
    <t>CURI CCELLCCASCCA, ROSA</t>
  </si>
  <si>
    <t>CCAHUANA ILLISCA, CIRILO</t>
  </si>
  <si>
    <t>ROMAN RAMIREZ, EDGAR</t>
  </si>
  <si>
    <t>QUISPE CENTENO, FELICITAS</t>
  </si>
  <si>
    <t>RICRA DE VILCHEZ, MARIA</t>
  </si>
  <si>
    <t>CHAVEZ GALVEZ, EDY CARTER</t>
  </si>
  <si>
    <t>CCELLCCASCCA BORDA, FAUSTINA</t>
  </si>
  <si>
    <t>TITO SULCA, MARTHA</t>
  </si>
  <si>
    <t>NOLBERTO HUAYANA, RIGOBERTO</t>
  </si>
  <si>
    <t>RIVAS VILLANO, FAUSTINO</t>
  </si>
  <si>
    <t>MANCILLA VILCHEZ, JOSE ALEJANDRO</t>
  </si>
  <si>
    <t>PEÑA HUAYANA, FELICITAS</t>
  </si>
  <si>
    <t>NOLBERTO CAYLLAHUA, NIEVES</t>
  </si>
  <si>
    <t>RICRA ROJAS, DORA</t>
  </si>
  <si>
    <t>NOLBERTO JERY, SANTOSA</t>
  </si>
  <si>
    <t>RICRA GALVEZ, PRICIA</t>
  </si>
  <si>
    <t>JERI GUTIERREZ, CRISTINA</t>
  </si>
  <si>
    <t>HUAYANA JERI, MARIA</t>
  </si>
  <si>
    <t>GUTIERREZ INFANTE, NATIVIDAD</t>
  </si>
  <si>
    <t>RICRA NOLBERTO, CLOTILDE</t>
  </si>
  <si>
    <t>JERI DE GUZMAN, ELVIRA</t>
  </si>
  <si>
    <t>CORONADO RICRA, CELSA</t>
  </si>
  <si>
    <t>GUTIERREZ VILLANO, MARIBEL</t>
  </si>
  <si>
    <t>HUAYANA GUTIERREZ, JUAN</t>
  </si>
  <si>
    <t>DOMINGUEZ MARTINEZ, CLEOFE</t>
  </si>
  <si>
    <t>JERI RIVAS, PAULINA</t>
  </si>
  <si>
    <t>BILBAO TITO, MARIBEL</t>
  </si>
  <si>
    <t>PUMACAYO PUMACAYO, ANER</t>
  </si>
  <si>
    <t>HUAYANA JERI, CLOTILDE</t>
  </si>
  <si>
    <t>NOLBERTO RICRA, CELSO</t>
  </si>
  <si>
    <t>RICRA ALARCON, JESUS MANUEL</t>
  </si>
  <si>
    <t>RIVAS CAYLLAHUA, VIRGILIO</t>
  </si>
  <si>
    <t>PEREZ VILLANO, JULIAN</t>
  </si>
  <si>
    <t>ROJAS URPE, MAXIMINA</t>
  </si>
  <si>
    <t>PEREZ RAMIREZ, ANITA</t>
  </si>
  <si>
    <t>CCAHUANA HUACRE, CARMEN ROSA</t>
  </si>
  <si>
    <t>HUAYHUA GUTIERRES, DONATILA</t>
  </si>
  <si>
    <t>LEON SALAS, MAURICIA</t>
  </si>
  <si>
    <t>HUAMAN DE PEREZ, CENCEPCION</t>
  </si>
  <si>
    <t>VILLEGAS PEREZ, FELICITA</t>
  </si>
  <si>
    <t>BULEJE HUAMAN, TERESA</t>
  </si>
  <si>
    <t>MENDOZA GUTIERREZ, DINNEN</t>
  </si>
  <si>
    <t>MENDOZA ROMAN, SILVIA</t>
  </si>
  <si>
    <t>LEON SALAS, GLORIA</t>
  </si>
  <si>
    <t>QUISPE CCAHUANA, DORIS</t>
  </si>
  <si>
    <t>MENDOZA CCAHUANA, EDWIN</t>
  </si>
  <si>
    <t>RAMIREZ CCAHUANA, GABRIEL</t>
  </si>
  <si>
    <t>YAPIA ARONI, ELENA</t>
  </si>
  <si>
    <t>PACHECO ARONE, JUAN</t>
  </si>
  <si>
    <t>ARONE DE HUAMAN, REYNA</t>
  </si>
  <si>
    <t>MEDINA SALCEDO, LUCIA</t>
  </si>
  <si>
    <t>LIZANA DE FLORES, AGRIPINA</t>
  </si>
  <si>
    <t>RAMIREZ CCELLCCASCCA, MIGUEL</t>
  </si>
  <si>
    <t>ARONI DE CCAHUANA, PAULINA</t>
  </si>
  <si>
    <t>CCORAHUA HUAMANI, TEOFILA</t>
  </si>
  <si>
    <t>ROJAS ORIBI, GLADIS</t>
  </si>
  <si>
    <t>GUEVARA DE VELARDE, ALBERTA</t>
  </si>
  <si>
    <t>CUELO CCAHUANA, DIONICIA</t>
  </si>
  <si>
    <t>VASQUEZ HUAMAN, CLAUDIA</t>
  </si>
  <si>
    <t>PEREZ DE CURI, MARIA SALOME</t>
  </si>
  <si>
    <t>LUQUE SANDOVAL, CARMEN ROSA</t>
  </si>
  <si>
    <t>CURI PEREZ, SALOME</t>
  </si>
  <si>
    <t>VASQUEZ GUTIERREZ, LEONCIO</t>
  </si>
  <si>
    <t>GODOY BUSTAMANTE, ELVA</t>
  </si>
  <si>
    <t>CCASANI AQUISE, MAXIMO</t>
  </si>
  <si>
    <t>CHINCHAY DE SALCEDO, CATALINA</t>
  </si>
  <si>
    <t>SALCEDO TRONCOSO, HILDA</t>
  </si>
  <si>
    <t>PINCO LAURENTE, HAYDEE</t>
  </si>
  <si>
    <t>QUISPE HUAMAN, EDGAR</t>
  </si>
  <si>
    <t>SALCEDO DE PORTILLO, JUSTINA JULIA</t>
  </si>
  <si>
    <t>LOAYZA QUISPE, LUCY LUCINDA</t>
  </si>
  <si>
    <t>SALCEDO CUENCA, SERAFINA</t>
  </si>
  <si>
    <t>JIMENEZ DE POZO, JUSTINA</t>
  </si>
  <si>
    <t>AGUILAR CORONADO, MARGARITA</t>
  </si>
  <si>
    <t>PARIONA MESES DE GARCIA, JUANA</t>
  </si>
  <si>
    <t>GARCIA PARIONA, SORAIDA</t>
  </si>
  <si>
    <t>POZO JIMENEZ, FLOR DE MARIA</t>
  </si>
  <si>
    <t>HUANACO MENDOZA, LOURDES</t>
  </si>
  <si>
    <t>LIZANA HUANACO, NORMA</t>
  </si>
  <si>
    <t>HUANACO CCAHUANA, LEONCIO</t>
  </si>
  <si>
    <t>SOLIS BULEJE, MARCELINA</t>
  </si>
  <si>
    <t>HUAMAN PEREZ, MARIA</t>
  </si>
  <si>
    <t>QUISPE SULCA, SAMUEL</t>
  </si>
  <si>
    <t>CASTAÑEDA CASTRO, LUZ MARIA</t>
  </si>
  <si>
    <t>LIZANA SULCA, EPIFANIA</t>
  </si>
  <si>
    <t>HUAMAN CCELLCASCCA, CESAR</t>
  </si>
  <si>
    <t>SALAS LIZANA, ANTONIO</t>
  </si>
  <si>
    <t>HUAMAN CHAVEZ, RENEE</t>
  </si>
  <si>
    <t>RIVERA SANCHEZ, ANIA</t>
  </si>
  <si>
    <t>CCAHUANA HUAMAN, NARCISO</t>
  </si>
  <si>
    <t>DEONICIO LISANO, SULCA</t>
  </si>
  <si>
    <t>RAMIREZ CCELLCCASCCA, HIPOLITO</t>
  </si>
  <si>
    <t>LAURA GUTIERREZ, FERNANDINA</t>
  </si>
  <si>
    <t>AVALOS QUISPE, HERMINIA</t>
  </si>
  <si>
    <t>HUAMAN CURI, FELIX</t>
  </si>
  <si>
    <t>VELASQUE DE AVALOS, ANDREA</t>
  </si>
  <si>
    <t>COCHARCAS</t>
  </si>
  <si>
    <t>MAMANI TAPARA, ELOY</t>
  </si>
  <si>
    <t>CAVERO DE GUTIERREZ, YOLANDA</t>
  </si>
  <si>
    <t>YAÑE SALCEDO, LUZ MARINA</t>
  </si>
  <si>
    <t>GAMBOA ANDAZABAL, SILVESTRA</t>
  </si>
  <si>
    <t>CERON TELLO VDA DE PORRAS, GEORGINA</t>
  </si>
  <si>
    <t>SICHA DE ALCARRAZ, MARIA LEONOR</t>
  </si>
  <si>
    <t>ROJAS CERON, AYDEE</t>
  </si>
  <si>
    <t>CERON VDA DE SICHA, ANGELICA</t>
  </si>
  <si>
    <t>CHAVEZ DE LUDEÑA, AGUSTINA</t>
  </si>
  <si>
    <t>IBAÑEZ RIVERA, SONILDA</t>
  </si>
  <si>
    <t>TELLO PILLACA, CIRILA</t>
  </si>
  <si>
    <t>ZEVALLOS DE MOLERO, MARIA LUSMILA</t>
  </si>
  <si>
    <t>ROJAS DE YEPEZ, MARCELINA</t>
  </si>
  <si>
    <t>GUTIERREZ CHACON, MANUEL JESUS</t>
  </si>
  <si>
    <t>ESPINOZA BLAS, PAOLA CLARIBEL</t>
  </si>
  <si>
    <t>MOLERO ZEVALLOS, OSCAR</t>
  </si>
  <si>
    <t>YEPEZ DE SANJUAN, HERMINIA</t>
  </si>
  <si>
    <t>SAN JUAN ASTOHUAYHUA, CESAR</t>
  </si>
  <si>
    <t>OLIVERA FLORES, EMILIO</t>
  </si>
  <si>
    <t>CERON DE ASTOHUAYHUA, TERESA</t>
  </si>
  <si>
    <t>TELLO HUALLANCA, RICARDO</t>
  </si>
  <si>
    <t>URETA BLAZ, EDWIN OSCAR</t>
  </si>
  <si>
    <t>CARBAJAL CHACON, SADY</t>
  </si>
  <si>
    <t>CARLOS ROJAS, ANATOLIA JACINTA</t>
  </si>
  <si>
    <t>RIVERA GUTIERREZ, TIBURCIO</t>
  </si>
  <si>
    <t>UCHUPE DE PILLACA, FLORA</t>
  </si>
  <si>
    <t>PEREZ GUTIERRES, OLGA TEREZA</t>
  </si>
  <si>
    <t>PIPA DE CARBAJAL, ESTHER</t>
  </si>
  <si>
    <t>UCHUPE DE OROSCO, FELICIANA</t>
  </si>
  <si>
    <t>CASAPAICO RAMIREZ, PELAYO</t>
  </si>
  <si>
    <t>SIHUI RIVERA, LUCIA</t>
  </si>
  <si>
    <t>SIHUI RIVERA, TORIBIA</t>
  </si>
  <si>
    <t>SIHUI DE PIPA, EUGENIA</t>
  </si>
  <si>
    <t>BONEO GARCIA, ZENAIDA</t>
  </si>
  <si>
    <t>URRUTIA DE MARIÑO, ANGELICA</t>
  </si>
  <si>
    <t>POZO RIVERA, JULIA</t>
  </si>
  <si>
    <t>GODOY GUTIERREZ, MAXIMO</t>
  </si>
  <si>
    <t>GODOY OLARTE, MAXIMILIANO</t>
  </si>
  <si>
    <t>MARIÑO RAMIREZ, FILOMENA</t>
  </si>
  <si>
    <t>CASTRO YAURE, DELFINA</t>
  </si>
  <si>
    <t>PULTAY SIHUI, TERESA</t>
  </si>
  <si>
    <t>MARIÑO URRUTIA, JULIO</t>
  </si>
  <si>
    <t>UCHUPE PARIONA, PAULINA</t>
  </si>
  <si>
    <t>PIPA DE RAMIREZ, SATURNINA</t>
  </si>
  <si>
    <t>PIPA DE HUARACA, ESTELITA EUGENIA</t>
  </si>
  <si>
    <t>GUTIERREZ CASTRO, GERARDO</t>
  </si>
  <si>
    <t>CASAPAICO DE GARCIA, MARIA LUISA</t>
  </si>
  <si>
    <t>ACEBEDO YAURE, DONATO</t>
  </si>
  <si>
    <t>UCHUPE RIVERA, CIRILO</t>
  </si>
  <si>
    <t>PULTAY UCHUPE, FORTUNATO</t>
  </si>
  <si>
    <t>CURO HUARACA, PELAGIA</t>
  </si>
  <si>
    <t>GUTIERREZ CASTRO, SATURNINO</t>
  </si>
  <si>
    <t>CASAPAICO PILLACO, GREGORIO</t>
  </si>
  <si>
    <t>SIHUI CENTENO, HERMELINDA</t>
  </si>
  <si>
    <t>UCHUPE RAMIREZ, DELIA</t>
  </si>
  <si>
    <t>PULTAY SIHUI, YOVANA SANDRA</t>
  </si>
  <si>
    <t>GUTIERREZ DE MARIÑO, MARIA</t>
  </si>
  <si>
    <t>HUARACA DE CURO, LUCILA</t>
  </si>
  <si>
    <t>MARIÑO GUTIERREZ, MERCEDES</t>
  </si>
  <si>
    <t>CHACON RODRIGUEZ, FERMIN PABLO</t>
  </si>
  <si>
    <t>UCHUPE PIPA, CARMELA</t>
  </si>
  <si>
    <t>LLOCLLA CHILE, SIMEONA</t>
  </si>
  <si>
    <t>SIHUI DE HUARHUACHI, CLEOFE</t>
  </si>
  <si>
    <t>PILLACA DE ALARCON, JULIANA</t>
  </si>
  <si>
    <t>BARRIOS PIPA, GREGORIO</t>
  </si>
  <si>
    <t>ALARCON GUTIERREZ, ANTONIA FORTUNATA</t>
  </si>
  <si>
    <t>UCHUPE LLANTIRHUAY, RUBY</t>
  </si>
  <si>
    <t>RAMIREZ DE PIPA, VIRGINIA</t>
  </si>
  <si>
    <t>MEDINA SICHA, MERCEDES</t>
  </si>
  <si>
    <t>OROSCO HUARACA, VICTORIA</t>
  </si>
  <si>
    <t>MARIÑO BONES, RIGOBERTA GREGORIA</t>
  </si>
  <si>
    <t>GONZALES CENTENO, VICTOR</t>
  </si>
  <si>
    <t>NAVARRO QUISPE, JESUS</t>
  </si>
  <si>
    <t>PALOMINO GONZALES, HERMINIA</t>
  </si>
  <si>
    <t>CASTILLO LLANTERHUAY, LUIS LIVER</t>
  </si>
  <si>
    <t>HUAMAN PILLACA, ALINA</t>
  </si>
  <si>
    <t>RAMIREZ CASTRO, JOSE</t>
  </si>
  <si>
    <t>LOAYZA DE PILLACA, FELICITAS</t>
  </si>
  <si>
    <t>CASTRO DE AREVALO, DOROTEA</t>
  </si>
  <si>
    <t>ZARATE DE LLANTERHUAY, ELVIRA</t>
  </si>
  <si>
    <t>CASTRO DE LOAYZA, ANA</t>
  </si>
  <si>
    <t>HUAMAN CASTRO, HERMINIA</t>
  </si>
  <si>
    <t>AREVALO DE CASTRO, IRENE</t>
  </si>
  <si>
    <t>CARBAJAL AREVALO, REYNA</t>
  </si>
  <si>
    <t>AREVALO VIUDA DE CARBAJAL, VICTORIA</t>
  </si>
  <si>
    <t>CASTRO HUAMAN, SONIA</t>
  </si>
  <si>
    <t>HUAMAN DE HERRERA, BERTHA</t>
  </si>
  <si>
    <t>LLANTERHUAY QUISPE, FORTUNATO</t>
  </si>
  <si>
    <t>GOMEZ CARBAJAL, HERMINIA</t>
  </si>
  <si>
    <t>PILLACA LOAYZA, CELIA AYDEE</t>
  </si>
  <si>
    <t>LLANTERUAY GUTIERREZ, JACINTO</t>
  </si>
  <si>
    <t>LOAYZA HUAMAN, EMILIA</t>
  </si>
  <si>
    <t>LONASCO GONZALES, VIDALINA</t>
  </si>
  <si>
    <t>GONZALES HUAMAN, AVELINA</t>
  </si>
  <si>
    <t>HUAMAN CARBAJAL, LIDIA</t>
  </si>
  <si>
    <t>HUAMAN ZARATE, CIRILO</t>
  </si>
  <si>
    <t>LLANTERHUAY CARBAJAL, AMADOR</t>
  </si>
  <si>
    <t>HUAMAN FLORES, FELICITAS</t>
  </si>
  <si>
    <t>MENDES GUISADO, CELIA</t>
  </si>
  <si>
    <t>MENDEZ LOAYZA, ANATOLIO</t>
  </si>
  <si>
    <t>MENDEZ JANAMPA, RAFAEL</t>
  </si>
  <si>
    <t>MENDEZ CARBAJAL, MAXIMILIANA</t>
  </si>
  <si>
    <t>ROJAS DE CABRERA, JULIA</t>
  </si>
  <si>
    <t>LLANTERHUAY GOMEZ, ROSA</t>
  </si>
  <si>
    <t>CARBAJAL LOAYZA, EUFRACIA</t>
  </si>
  <si>
    <t>GAMONAL ZARATE, JACINTO</t>
  </si>
  <si>
    <t>LLANTERHUAY CARBAJAL, ISABEL</t>
  </si>
  <si>
    <t>LLANTERHUAY AREVALO, MAXIMO</t>
  </si>
  <si>
    <t>LOAYZA LLANTERHUAY DE CARBAJAL, ERNESTINA</t>
  </si>
  <si>
    <t>CASTRO HUAMAN, REYNALDO</t>
  </si>
  <si>
    <t>HUAMAN MALLQUI, GIANNINA JENNY</t>
  </si>
  <si>
    <t>LLANTERHUAY CARBAJAL, JESSICA</t>
  </si>
  <si>
    <t>ZARATE CARBAJAL, SAMUEL</t>
  </si>
  <si>
    <t>ZARATE CARBAJAL, AMADOR</t>
  </si>
  <si>
    <t>CHIPANA HUAMAN, ROSA</t>
  </si>
  <si>
    <t>HUAMAN CARBAJAL, DELFINA</t>
  </si>
  <si>
    <t>HUAMAN LOAYZA, DIOFANES</t>
  </si>
  <si>
    <t>QUISPE DE LLANTERHUAY, JULIA</t>
  </si>
  <si>
    <t>CABRERA ROJAS, YOBANA</t>
  </si>
  <si>
    <t>SULCA ZARATE, CEFERINO</t>
  </si>
  <si>
    <t>LAURA LAURA, FORTUNATA</t>
  </si>
  <si>
    <t>PORRAS SALAZAR, GEREMIAS</t>
  </si>
  <si>
    <t>RAMIREZ BERROCAL, FRANCISCO</t>
  </si>
  <si>
    <t>BERROCAL PEREZ, ROSA</t>
  </si>
  <si>
    <t>HERRERA NAJARRO, DORIS</t>
  </si>
  <si>
    <t>NIETO TORRES, ALFREDO</t>
  </si>
  <si>
    <t>QUISPE CULACA, JUAN</t>
  </si>
  <si>
    <t>RAMIREZ TAPE, WASHINGTON NILO</t>
  </si>
  <si>
    <t>ARROYO QUIÑONEZ, ROBERTO</t>
  </si>
  <si>
    <t>ACOSTA QUINTANILLA, CARLOS</t>
  </si>
  <si>
    <t>VALER SULCA, SALVADOR</t>
  </si>
  <si>
    <t>TORRES HERRERA, MARINA</t>
  </si>
  <si>
    <t>BUSTAMANTE CELIDA, GALLARDO</t>
  </si>
  <si>
    <t>LEYVA RAMIREZ, SAMUEL</t>
  </si>
  <si>
    <t>PRADO CORDOVA, LUIS</t>
  </si>
  <si>
    <t>PRADO CORDOVA, ANTONIO</t>
  </si>
  <si>
    <t>CARDENAS SAAVEDRA, CESAR</t>
  </si>
  <si>
    <t>ACOSTA GUEVARA, MARINO</t>
  </si>
  <si>
    <t>CCASANI LAURENTE, RAYDA</t>
  </si>
  <si>
    <t>MIO ARROYO, TERESA</t>
  </si>
  <si>
    <t>DE LA CRUZ SULCA, ELEAZAR</t>
  </si>
  <si>
    <t>TORRES HERRERA, MERY</t>
  </si>
  <si>
    <t>NAVARRO MEDRANO, JULIAN</t>
  </si>
  <si>
    <t>TENORIO LAURA, RUTH MERY</t>
  </si>
  <si>
    <t>MARINO HERRERA, ESPEJO</t>
  </si>
  <si>
    <t>PASTOR PACHECO, GIOVANA</t>
  </si>
  <si>
    <t>HERRERA NAJARRO, MANUEL</t>
  </si>
  <si>
    <t>ROJAS MOORE, PABLINO</t>
  </si>
  <si>
    <t>ROSA ECHAVARRIA, QUINTANA</t>
  </si>
  <si>
    <t>HERRERA LAURA, ROSA</t>
  </si>
  <si>
    <t>ACOSTA MENDEZ, ESTHER</t>
  </si>
  <si>
    <t>ESPINOZA DE AQUISE, TEODORICA</t>
  </si>
  <si>
    <t>CANCHALLA MENDEZ, SAMUEL</t>
  </si>
  <si>
    <t>RUA ROJAS, ALEJANDRO</t>
  </si>
  <si>
    <t>PRADO CANCHARI, EDITH</t>
  </si>
  <si>
    <t>CCASANI LURIMANTE, NORMA ALICIA</t>
  </si>
  <si>
    <t>AVALOS VELASQUE, LIDIA</t>
  </si>
  <si>
    <t>RUIZ SICHA, LOURDES</t>
  </si>
  <si>
    <t>HUAMAN CAPULIAN, DONATILDA</t>
  </si>
  <si>
    <t>ALVITES CABEZAS VDA DE SULCA, BENEDICTA</t>
  </si>
  <si>
    <t>RUIZ SICHA, ANATOLIA</t>
  </si>
  <si>
    <t>CCASANI LURIMANTE, BERTHA</t>
  </si>
  <si>
    <t>CCASANI LURIMANTE, ISABEL</t>
  </si>
  <si>
    <t>ATAO LUNASCO, JULIA</t>
  </si>
  <si>
    <t>TORRES CHILINGANO, FAUSTO</t>
  </si>
  <si>
    <t>YUPANQUI AQUISE, ISIDRO</t>
  </si>
  <si>
    <t>YUPANQUI ABREGU, MARIA LUZ</t>
  </si>
  <si>
    <t>BANDA VASQUEZ, JUAN DE DIOS</t>
  </si>
  <si>
    <t>QUISPE CARDENAS, DELIA</t>
  </si>
  <si>
    <t>CERRUDO HUANCA, AUGUSTINA</t>
  </si>
  <si>
    <t>HUANCA ARANGO, SEBASTIANA</t>
  </si>
  <si>
    <t>YUPANQUI BANDA, AURELIO</t>
  </si>
  <si>
    <t>ABREGU DE YUPANQUI, NATIVIDAD</t>
  </si>
  <si>
    <t>LLOCCLLA DE MEDRANO, MARTHA</t>
  </si>
  <si>
    <t>PINTO CORDOVA DE AQUISE, HILDA</t>
  </si>
  <si>
    <t>CCAHUANA YUPANQUI, WILBER</t>
  </si>
  <si>
    <t>YUPANQUI BANDA, MARCIAL</t>
  </si>
  <si>
    <t>ROCHA HUAMANI, FLORENDA</t>
  </si>
  <si>
    <t>PORRAS MEDRANO, TEODOCIO</t>
  </si>
  <si>
    <t>YUPANQUI SULCA DE LOAYZA, DELFINA</t>
  </si>
  <si>
    <t>SULCA VILCHEZ, GLORIA</t>
  </si>
  <si>
    <t>VARGAS YUPANQUI, VILMA</t>
  </si>
  <si>
    <t>PILLACA BAUTISTA, DIONISIO</t>
  </si>
  <si>
    <t>MEDRANO SACCACO, MANUEL VISITACION</t>
  </si>
  <si>
    <t>LAURENTE QUISPE, VICTORIA</t>
  </si>
  <si>
    <t>VASQUEZ MEDRANO, VALERIANA</t>
  </si>
  <si>
    <t>MEDINA DE MEDRANO, HAYDEE</t>
  </si>
  <si>
    <t>CACERES RODAS, GERARDO</t>
  </si>
  <si>
    <t>TORRES SALCEDO, JUAN</t>
  </si>
  <si>
    <t>MEDRANO OJEDA, NICANOR</t>
  </si>
  <si>
    <t>MEDRANO CHAVEZ, AMBROSIA</t>
  </si>
  <si>
    <t>OJEDA VASQUEZ, ROLANDO</t>
  </si>
  <si>
    <t>TAIPE TRONCOSO, EDILBERTO</t>
  </si>
  <si>
    <t>LOAYZA MEDRANO, SOCRATES</t>
  </si>
  <si>
    <t>TENORIO DE YUPANQUI, FLORA</t>
  </si>
  <si>
    <t>QUISPE CCORAHUA, RUTH</t>
  </si>
  <si>
    <t>PINTO DE AGUILAR, JUSTINA</t>
  </si>
  <si>
    <t>AGUILAR PINTO, NORMA</t>
  </si>
  <si>
    <t>AGUILAR PINTO, ELISEO</t>
  </si>
  <si>
    <t>TORRES CUENCA, FLORISA</t>
  </si>
  <si>
    <t>GRANADOS CCASANI, MARUJA</t>
  </si>
  <si>
    <t>ANCHI TENORIO, MARGARITA REYNA</t>
  </si>
  <si>
    <t>AGUILAR DE TORRES, JUANA</t>
  </si>
  <si>
    <t>SULCO MOTTA, FILOMENO</t>
  </si>
  <si>
    <t>YUPANQUI MEDRANO, LUCILA</t>
  </si>
  <si>
    <t>ARROYO DE CUENCA, ROSA</t>
  </si>
  <si>
    <t>GALVES VILCAS, CIRILO</t>
  </si>
  <si>
    <t>ANAYA QUISPE, YIYE</t>
  </si>
  <si>
    <t>CUENCA TAIPE, ROMULO</t>
  </si>
  <si>
    <t>VILLANO CERRUDO, ORLANDO</t>
  </si>
  <si>
    <t>RUDA PINTO, MOISES</t>
  </si>
  <si>
    <t>CHATI TAIPE, CELESTINA</t>
  </si>
  <si>
    <t>PALOMINO SULCA, LIDIA</t>
  </si>
  <si>
    <t>MENDOZA DE BELTRAN, FLOR DE MARIA</t>
  </si>
  <si>
    <t>MEDRANO GUTIERREZ, CLAUDIA</t>
  </si>
  <si>
    <t>ASPUR DE MEDRANO, LUISA</t>
  </si>
  <si>
    <t>SULCA  DE PUJALLA, TEOFILA</t>
  </si>
  <si>
    <t>YUPANQUI DE CUENCA, RICARDINA</t>
  </si>
  <si>
    <t>TORRE LOAYZA, LIDIA</t>
  </si>
  <si>
    <t>LOAYZA SILVERA DE TORRE, ALFONZA</t>
  </si>
  <si>
    <t>HINOSTROSA WAHUAS, EMILIO</t>
  </si>
  <si>
    <t>TAIPE QUISPE, DELFINA</t>
  </si>
  <si>
    <t>MENDOZA CUSIHUAMAN, ABDON</t>
  </si>
  <si>
    <t>PILLACA GALVEZ, GODOFREDO</t>
  </si>
  <si>
    <t>YUPANQUI VILCAS DE MORENO, VICTORIO</t>
  </si>
  <si>
    <t>ROJAS YUPANQUI, RAIMUNDO</t>
  </si>
  <si>
    <t>CARDENAS SAMANIEGO, ERESINCIA</t>
  </si>
  <si>
    <t>VILCAS MEDINA, NORMA</t>
  </si>
  <si>
    <t>VILCAS LLOCLLAS, MARCIANO</t>
  </si>
  <si>
    <t>ROCA YUPANQUI, JUAN</t>
  </si>
  <si>
    <t>ANCHAYO RIVERA, RENE</t>
  </si>
  <si>
    <t>CCAHUANA YUPANQUI, MARCIAL EDWIN</t>
  </si>
  <si>
    <t>ROJAS CONTRERAS, DEMETRIO</t>
  </si>
  <si>
    <t>CUENCA DE PILLACA, TEOFILA</t>
  </si>
  <si>
    <t>PINTO DE ROJAS, ISABEL</t>
  </si>
  <si>
    <t>PRADO DE POZO, CRISTINA</t>
  </si>
  <si>
    <t>LURIMANTE CANCHALLA, TEODORA</t>
  </si>
  <si>
    <t>SULCA NAVARRO, FLORDES</t>
  </si>
  <si>
    <t>MEDINA YUPANQUI, CLODUALDO</t>
  </si>
  <si>
    <t>POZO PRADO, JUANA ROSA</t>
  </si>
  <si>
    <t>YUPANQUI MUÑANTE, JUAN</t>
  </si>
  <si>
    <t>ARROYO CONTRERAS, SEBASTIANA</t>
  </si>
  <si>
    <t>VENTURA AGUILAR, AMALIA</t>
  </si>
  <si>
    <t>SULCA SICHA, EMILIO</t>
  </si>
  <si>
    <t>VARGAS ROJAS, FRUILA</t>
  </si>
  <si>
    <t>VILCO MEDRANO, ROSA</t>
  </si>
  <si>
    <t>NAJARRO AQUISE, ANTONIA</t>
  </si>
  <si>
    <t>HINOSTROZA TORRES, ELIO</t>
  </si>
  <si>
    <t>PILLACA GUILLERHUA, SEASTIAN</t>
  </si>
  <si>
    <t>GRANADOS CCASANI, ELENA</t>
  </si>
  <si>
    <t>PALOMINO HUAMAN, SILVIA</t>
  </si>
  <si>
    <t>GALVEZ MEDINA, CARINA</t>
  </si>
  <si>
    <t>MEDINA YUPANQUI, TEODORA</t>
  </si>
  <si>
    <t>BADAJOS SULCA, JESUS NAZARENO</t>
  </si>
  <si>
    <t>SALCEDO VILLAVICENCIO, VERONICA</t>
  </si>
  <si>
    <t>REYNA PARIONA, VELASQUE</t>
  </si>
  <si>
    <t>GUTIERREZ TORRES, CARY</t>
  </si>
  <si>
    <t>PINTO MEDRANO, ZENOBIO</t>
  </si>
  <si>
    <t>CCAHUANA RAMIREZ, AMALIA</t>
  </si>
  <si>
    <t>CABEZAS CCAHUANA, ASENCIONA</t>
  </si>
  <si>
    <t>GRANADOS TORRES, ROSARIO</t>
  </si>
  <si>
    <t>YUPANQUI SULCA, ZOSIMO GAUDENCIO</t>
  </si>
  <si>
    <t>MEDRANO ASPUR, JUANA</t>
  </si>
  <si>
    <t>CUETO DE SULCA, TEODOSIA</t>
  </si>
  <si>
    <t>CURI  DE VARGAS, ELISA</t>
  </si>
  <si>
    <t>DE LACRUZ DE SULCA, ELENA</t>
  </si>
  <si>
    <t>GALVEZ PALOMINO, ISABEL</t>
  </si>
  <si>
    <t>MENDOZA ROJAS, REBECA</t>
  </si>
  <si>
    <t>TORRE SULCA, DEMETRIO</t>
  </si>
  <si>
    <t>SUPÑO DE LA CRUZ, ELENA</t>
  </si>
  <si>
    <t>HUACCACHI DE LOZANO, RAQUEL</t>
  </si>
  <si>
    <t>HUAMAN AQUISE, GLORIA</t>
  </si>
  <si>
    <t>SULCA DE LAURA, MAURA</t>
  </si>
  <si>
    <t>PRADO LAURA, DELFINA</t>
  </si>
  <si>
    <t>LAURENTE DE AQUISE, LUCIA</t>
  </si>
  <si>
    <t>BANDA ROCA, JUAN</t>
  </si>
  <si>
    <t>JUAREGUI MENDOZA, CLAUDIA</t>
  </si>
  <si>
    <t>SUPÑO DE LA CRUZ, LEONCIO</t>
  </si>
  <si>
    <t>SULCA ACOSTA, JAVIER</t>
  </si>
  <si>
    <t>AQUISE DE AGUILAR, LIDIA</t>
  </si>
  <si>
    <t>SUPÑO LAURA, YESENIA</t>
  </si>
  <si>
    <t>CORDOVA GUEVARA, JULIA</t>
  </si>
  <si>
    <t>ARROYO DE AQUISE, MODESTA</t>
  </si>
  <si>
    <t>CCAYCURI LAURA, EDMUNDO</t>
  </si>
  <si>
    <t>JAUREGUI DE LAURA, VICTORIA</t>
  </si>
  <si>
    <t>LAURA CORDOVA, VALENTIN</t>
  </si>
  <si>
    <t>AQUISE LAURENTE, EDWIN</t>
  </si>
  <si>
    <t>LAURA SALCEDO, RAUL</t>
  </si>
  <si>
    <t>COLOCA MEDRANO, NANCY</t>
  </si>
  <si>
    <t>QUISPE ROJAS, MAXIMO ALEJANDRO</t>
  </si>
  <si>
    <t>BENDEZÚ PALOMINO, GRACIELA</t>
  </si>
  <si>
    <t>PILLACA DE TORRE, MAXIMINA</t>
  </si>
  <si>
    <t>PILLACA AGUILAR, JACINTO</t>
  </si>
  <si>
    <t>HUARI GARCIA, SANTIAGO</t>
  </si>
  <si>
    <t>ESPINOZA FARFAN, IGNACIA</t>
  </si>
  <si>
    <t>OSCCO TERRAZA, ELEODORA</t>
  </si>
  <si>
    <t>YUPANQUI BENDEZU, CLEOFE</t>
  </si>
  <si>
    <t>QUISPE PILLACA, VILMA</t>
  </si>
  <si>
    <t>PILLACA DE BENDEZU, VICENTA</t>
  </si>
  <si>
    <t>SICHA ENCISO, FELICITAS</t>
  </si>
  <si>
    <t>LOPEZ ROCA, CELESTINO</t>
  </si>
  <si>
    <t>ESPINOZA FARFAN, JUAN DE DIOS</t>
  </si>
  <si>
    <t>CANCHARI CACERES, HIPOLITO</t>
  </si>
  <si>
    <t>CORDOVA YUPANQUI, TELESFORA</t>
  </si>
  <si>
    <t>GUTIERREZ TORRES, MATILDE</t>
  </si>
  <si>
    <t>HUAMAN ALLENDE, DIGNA JANETH</t>
  </si>
  <si>
    <t>SICHA ENCISO, FRANCISCO</t>
  </si>
  <si>
    <t>QUISPE PILLACA, ARCENIO</t>
  </si>
  <si>
    <t>MEDINA SOTELO, MAXIMILIANO</t>
  </si>
  <si>
    <t>GUTIERREZ CORDOVA, MAXIMO</t>
  </si>
  <si>
    <t>TORRES CUENCA, AGRIPINA</t>
  </si>
  <si>
    <t>GUIZADO PILLACA, VICTORIA</t>
  </si>
  <si>
    <t>LUJAN ROCA, FRIDA</t>
  </si>
  <si>
    <t>CORDOVA YUPANQUI, ORIEL</t>
  </si>
  <si>
    <t>ESPINOZA FARFAN, CLOTILDE</t>
  </si>
  <si>
    <t>CAPULEAN OSCCO, ROBERTO</t>
  </si>
  <si>
    <t>CULACA PILLACA, ZENAIDA</t>
  </si>
  <si>
    <t>ESPINOZA FARFAN, HERMELINDA</t>
  </si>
  <si>
    <t>CHINCHAY DE SICHA, SABINA VIRGINIA</t>
  </si>
  <si>
    <t>FARFAN LLOCCLLA DE ESPINOZA, AGRIPINA</t>
  </si>
  <si>
    <t>LUJAN ROCA, GLORIA</t>
  </si>
  <si>
    <t>ENCISO CULACA, AVELINO</t>
  </si>
  <si>
    <t>YUPANQUI BENDEZU, MARGARITA</t>
  </si>
  <si>
    <t>AQUISE SULCA, HILDA</t>
  </si>
  <si>
    <t>BENDEZU MEDINA, DINA</t>
  </si>
  <si>
    <t>SICHA PEREZ, ELISEO</t>
  </si>
  <si>
    <t>CURI LOAYZA, TEOFILA</t>
  </si>
  <si>
    <t>SICHA CUSIHUAMAN, PABLO FERMIN</t>
  </si>
  <si>
    <t>LEON CURI, MIGUEL ANGEL</t>
  </si>
  <si>
    <t>QUISPE POZO, FELIX</t>
  </si>
  <si>
    <t>VARGAS LAURA, PABLO</t>
  </si>
  <si>
    <t>LAGOS HUAMAN, MARI</t>
  </si>
  <si>
    <t>GRANADOS MOORE, LUISA</t>
  </si>
  <si>
    <t>CCASANI ALLENDE, LISBETH</t>
  </si>
  <si>
    <t>SILVERA TALAVERANO, VICENTE</t>
  </si>
  <si>
    <t>ESPEJO TORRES, DORIS</t>
  </si>
  <si>
    <t>SILVERA CUSIHUAMAN, ESTANISLAO</t>
  </si>
  <si>
    <t>TORRES HERRERA, MARCELINO</t>
  </si>
  <si>
    <t>AGUILAR HERRERA, CIRILA</t>
  </si>
  <si>
    <t>SALAZAR DE PORRAS, FAUSTINA</t>
  </si>
  <si>
    <t>LOAYZA DIAS, NOEMI</t>
  </si>
  <si>
    <t>CESPEDES DE CORONADO, GREGORIA</t>
  </si>
  <si>
    <t>HUAMAN ABALOS, AURELIA</t>
  </si>
  <si>
    <t>ZAMORA OSIS, VICTORIA</t>
  </si>
  <si>
    <t>LAURA RAMOS, DARIA</t>
  </si>
  <si>
    <t>PORRAS ALLENDE, ARTEMIA</t>
  </si>
  <si>
    <t>LAURA RAMOS, LUIS SOCRATES</t>
  </si>
  <si>
    <t>HUAMAN ALFARO, DAVID</t>
  </si>
  <si>
    <t>TORRES PAMPAS, KARIM</t>
  </si>
  <si>
    <t>CONDOR MEGO, FLORENCIO</t>
  </si>
  <si>
    <t>MOORE MENDES, LUSMILA</t>
  </si>
  <si>
    <t>CCORIHUAMAN NAJARRO, ALFONSO</t>
  </si>
  <si>
    <t>MENDOZA QUIÑONES, ISABEL AQUILINA</t>
  </si>
  <si>
    <t>PAMPAS DETORRES, GUADALUPE</t>
  </si>
  <si>
    <t>TALAVERANO TORRES, CIRILO</t>
  </si>
  <si>
    <t>MEDINA DE LIMACO, PAULINA</t>
  </si>
  <si>
    <t>QUISPE DE TALAVERANO, FELICITAS</t>
  </si>
  <si>
    <t>MEDINA DE SOLAR, JUSTINA</t>
  </si>
  <si>
    <t>LAURA TORRES, JUAQUIN</t>
  </si>
  <si>
    <t>GAMBOA DE PAMPAS, VICTORIA</t>
  </si>
  <si>
    <t>LAGOS ALFARO, ESTELA</t>
  </si>
  <si>
    <t>QUISPE CCAYCURI, VIRGINIA</t>
  </si>
  <si>
    <t>SOLAR MEDINA, MARIBEL</t>
  </si>
  <si>
    <t>SOLAR MEDRANO, DIOMEDES</t>
  </si>
  <si>
    <t>ARANGO DE PRADO, VICTORIA</t>
  </si>
  <si>
    <t>PRADO LAURA, FELICITAS</t>
  </si>
  <si>
    <t>HERRERA LAURA, MARLENE MERCEDES</t>
  </si>
  <si>
    <t>ALLENDE QUISPE, NOEMI</t>
  </si>
  <si>
    <t>PRADO YUPANQUI, PAULINO</t>
  </si>
  <si>
    <t>LAGOS NAJARRO, NASARIO</t>
  </si>
  <si>
    <t>CORONADO DE CESPEDES, RUFINA</t>
  </si>
  <si>
    <t>CCASANI DE PACHECO, JUANA TECLA</t>
  </si>
  <si>
    <t>CASTRO TALAVERANO, IGNACIO</t>
  </si>
  <si>
    <t>TORRES ZAMORA, VICTOR</t>
  </si>
  <si>
    <t>CANCHARI TORRE, JUAN GUALBERTO</t>
  </si>
  <si>
    <t>CARDENAS QUISPE, PETRONILA</t>
  </si>
  <si>
    <t>CHIPAO TITO DE YUPANQUI, MAXIMINA</t>
  </si>
  <si>
    <t>GARCIA DE QUISPE, INOCENCIA</t>
  </si>
  <si>
    <t>AQUISE TITO, ADELAIDA</t>
  </si>
  <si>
    <t>MEDRANO HUAMANCHARI, PRISCA</t>
  </si>
  <si>
    <t>ANCHAYA CALLE DE RAMIREZ, FLORIZA</t>
  </si>
  <si>
    <t>TELLO HUAMAN, LORENZO</t>
  </si>
  <si>
    <t>ZAVALA DE VELASQUE, DEMETRIA</t>
  </si>
  <si>
    <t>QUISPE VELASQUE, SILVIA</t>
  </si>
  <si>
    <t>VELASQUE ZAVALA, TEOFILA PAULINA</t>
  </si>
  <si>
    <t>COLACA LLUPANQUI, FRANCISCANA</t>
  </si>
  <si>
    <t>RICHARTE CHIPAO, EUDOSIA</t>
  </si>
  <si>
    <t>CULACA ALARCON, OCTAVIO</t>
  </si>
  <si>
    <t>TITO YAÑE, NANCY</t>
  </si>
  <si>
    <t>RICHARTE HUAMAN, ZENAIDA</t>
  </si>
  <si>
    <t>DE LA CRUZ VARGAS, EUGENIA</t>
  </si>
  <si>
    <t>CULACA GAMBOA, MANUEL</t>
  </si>
  <si>
    <t>ARROYO TRONCOSO, TEOFILA</t>
  </si>
  <si>
    <t>RICHARTE DE MEDINA, OLIMPIA</t>
  </si>
  <si>
    <t>GOMEZ DE RICHARTE, RICARDINA</t>
  </si>
  <si>
    <t>CHINCHAY MEDINA, JOSE</t>
  </si>
  <si>
    <t>CULACA ALFARO, CATALINA</t>
  </si>
  <si>
    <t>HUAMAN TRONCOSO, EPIFANIO</t>
  </si>
  <si>
    <t>QUISPE TITO, MERCEDES</t>
  </si>
  <si>
    <t>HUAMAN CULACA, CIRILA</t>
  </si>
  <si>
    <t>ALIENDRES MENDOZA, ALBINO</t>
  </si>
  <si>
    <t>TORRES LAURA, DIONISIA</t>
  </si>
  <si>
    <t>SILVERA DE PALOMINO, FILOMENA</t>
  </si>
  <si>
    <t>YUPANQUI CARDENAS, VICTORIA</t>
  </si>
  <si>
    <t>ENCISO CURACA, NERI</t>
  </si>
  <si>
    <t>CCAHUANA DE ANYOSA, ERNESTINA</t>
  </si>
  <si>
    <t>RIOS YAÑE, JUANA</t>
  </si>
  <si>
    <t>LAURA REINOSO, VICTORIA</t>
  </si>
  <si>
    <t>CULACA DE LA CRUZ, TEOFILA</t>
  </si>
  <si>
    <t>VARGAS CAROCANCHA, RAYDA</t>
  </si>
  <si>
    <t>DE LA CRUZ RIVERA, ELEODORA</t>
  </si>
  <si>
    <t>TITO QUISPE, JUAN</t>
  </si>
  <si>
    <t>MOORE ARROYO, ROBERTO</t>
  </si>
  <si>
    <t>ALFARO RECHARTE, FELICITAS</t>
  </si>
  <si>
    <t>QUISPE Q., TITO</t>
  </si>
  <si>
    <t>RICHARTE CHIPAO, ROSA</t>
  </si>
  <si>
    <t>DE LA CRUZ ARROYO, JUSTO</t>
  </si>
  <si>
    <t>TITO COLACA, ALEJANDRO</t>
  </si>
  <si>
    <t>CURI ALFARO, CESAR</t>
  </si>
  <si>
    <t>YANCCE QUISPE, JULIAN</t>
  </si>
  <si>
    <t>PALOMINO HUAYLLASCO, VIDALINA</t>
  </si>
  <si>
    <t>ANCA CISNEROS, GIOHANA</t>
  </si>
  <si>
    <t>QUISPE OLARTE, HERMINIO</t>
  </si>
  <si>
    <t>QUISPE PEREZ, CLOTILDE</t>
  </si>
  <si>
    <t>ARROYO TALAVERANO, MARCELINO</t>
  </si>
  <si>
    <t>SICHA DE CISNEROS, MANUELA</t>
  </si>
  <si>
    <t>QUISPE OLARTE, ESPERANZA</t>
  </si>
  <si>
    <t>AMAO OLARTE, FELIPE</t>
  </si>
  <si>
    <t>ANDAYA CURI, PASCUAL</t>
  </si>
  <si>
    <t>CONDOR CORDOVA, EVA</t>
  </si>
  <si>
    <t>GUIZADO RIVERA, SEGUNDINA</t>
  </si>
  <si>
    <t>CORDOVA IBIAS, JUANA YONY</t>
  </si>
  <si>
    <t>GUIA ALARCON, LORENZA</t>
  </si>
  <si>
    <t>ANDIA GUIZADO, FORTUNATO</t>
  </si>
  <si>
    <t>CORDOVA RAMOS, EDILBERTO</t>
  </si>
  <si>
    <t>GUIA ANDIA, FORTUNATO</t>
  </si>
  <si>
    <t>GONZALES LOAYIZA, FERMIN</t>
  </si>
  <si>
    <t>FUNDES RIVAS, LIDIA</t>
  </si>
  <si>
    <t>CORDOVA CORDOVA, TEOBALDO</t>
  </si>
  <si>
    <t>IBIAS ARRIOLA, EUSEBIO</t>
  </si>
  <si>
    <t>LOAYZA MORALES, YOLANDA</t>
  </si>
  <si>
    <t>MORALES ALTAMIRANO, SANTOSA</t>
  </si>
  <si>
    <t>RAMOS MORALES, ANALI YULISSA</t>
  </si>
  <si>
    <t>GONZALES ALCARRAZ, DAVID</t>
  </si>
  <si>
    <t>FRANCO ALARCON, YONY</t>
  </si>
  <si>
    <t>SOSA MIRANDA, RAUL</t>
  </si>
  <si>
    <t>GONZALES ALCARRAZ, VICTOR</t>
  </si>
  <si>
    <t>MARIÑO CACERES, FEDERICO</t>
  </si>
  <si>
    <t>GONZALES ALCARRAZ, ENCARNACION</t>
  </si>
  <si>
    <t>CACERES CENTENO, PAULINA</t>
  </si>
  <si>
    <t>LAGO VALER, ANGELICA</t>
  </si>
  <si>
    <t>AGUILA MARTINEZ, RUFINA</t>
  </si>
  <si>
    <t>MUÑOS CARVIAS, FORTUNATO SIMEON</t>
  </si>
  <si>
    <t>SANTA MARIA DE CHICMO</t>
  </si>
  <si>
    <t>RIVERA FIERRO, PABLO</t>
  </si>
  <si>
    <t>LOA GUIZADO, RAUL</t>
  </si>
  <si>
    <t>GUTIERREZ PEREZ, TEODORA</t>
  </si>
  <si>
    <t>SERNA PONCECA, ZOSIMO</t>
  </si>
  <si>
    <t>QUINTANA GUIZADO, LUZ MARITZA</t>
  </si>
  <si>
    <t>GUIZADO CAMPOS, JUDITH ERIKA</t>
  </si>
  <si>
    <t>GUIZADO ROMERO, JACINTO</t>
  </si>
  <si>
    <t>LAGO LUJAN, ORLANDO</t>
  </si>
  <si>
    <t>CACERES GONZALES, OCTAVIO SATURNINO</t>
  </si>
  <si>
    <t>ORTIZ GUTIERREZ, CLAUDIA ALEJANDRINA</t>
  </si>
  <si>
    <t>GUIZADO ALARCON, CESARIO</t>
  </si>
  <si>
    <t>NUÑEZ LOA, DEMETRIA</t>
  </si>
  <si>
    <t>NAVEROS QUISPE, VICTORIA</t>
  </si>
  <si>
    <t>GONZALES BERROCAL, MAXIMILIANO</t>
  </si>
  <si>
    <t>FUNDES ALRACON, LUIS</t>
  </si>
  <si>
    <t>ROCA DE GONZALES, RIGOBERTA</t>
  </si>
  <si>
    <t>PERALTA GUTIERREZ, AGAPITO</t>
  </si>
  <si>
    <t>JIMENEZ CARDENAS, ZARAGOZA</t>
  </si>
  <si>
    <t>PERALTA GUTIERREZ, MAXIMILIANA</t>
  </si>
  <si>
    <t>RIVERA QUISPE, WILIAN</t>
  </si>
  <si>
    <t>CBEZAS JORGE, YUPANQUI</t>
  </si>
  <si>
    <t>CACERES DIONE, CARDENAS</t>
  </si>
  <si>
    <t>ORTIZ TALAVERANO, ISABEL</t>
  </si>
  <si>
    <t>ORTEGA GONZALES, CONSUELO</t>
  </si>
  <si>
    <t>TALAVERANO GUIZADO, MARIO AQUILINO</t>
  </si>
  <si>
    <t>MOREYRA CRUZ, SONIA</t>
  </si>
  <si>
    <t>FLORES OBREGON, GEORGINA</t>
  </si>
  <si>
    <t>SACCACO BACILIANO, ZARABIA</t>
  </si>
  <si>
    <t>SARZO ANDIA, EMILIA</t>
  </si>
  <si>
    <t>MARTINEZ DE RIVERA, MARINA</t>
  </si>
  <si>
    <t>PEREZ GONZALES, OLGA</t>
  </si>
  <si>
    <t>RUIZ GUTIERREZ, PEDRO</t>
  </si>
  <si>
    <t>LUJAN BULEJE, CIRILA</t>
  </si>
  <si>
    <t>NUÑEZ PALOMINO, HERMOGENES</t>
  </si>
  <si>
    <t>TELLO ALCARRAZ, TEOFILO</t>
  </si>
  <si>
    <t>PALOMINO NUÑEZ, FLORISA</t>
  </si>
  <si>
    <t>NUÑEZ DE PALOMINO, NEMESIA</t>
  </si>
  <si>
    <t>REPOLLEDO LEGUIA, SABINO</t>
  </si>
  <si>
    <t>NUÑEZ OLIVARES, ANTONIA</t>
  </si>
  <si>
    <t>LOA MENDOZA, BERTHA</t>
  </si>
  <si>
    <t>GUTIERREZ CHAVEZ DE HUAMANI, VIDALINA</t>
  </si>
  <si>
    <t>ALCARRAZ TAIPE, JULIANA</t>
  </si>
  <si>
    <t>OROSCO RIVAS, YULI YENI</t>
  </si>
  <si>
    <t>NUÑEZ HURTADO, GUILLERMO</t>
  </si>
  <si>
    <t>CORDOVA LUDEÑA, VICTOR</t>
  </si>
  <si>
    <t>GUIZADO CCEÑUA, TEOFILO</t>
  </si>
  <si>
    <t>CAMPOS HUAROC, LILA</t>
  </si>
  <si>
    <t>MERCADO ORTEGA, JUSTINIANO</t>
  </si>
  <si>
    <t>VILLANO HUARACA, MAXIMO</t>
  </si>
  <si>
    <t>ARMAS OBREGON, MAXIMO</t>
  </si>
  <si>
    <t>VILLANO HUARACA, CATALINA</t>
  </si>
  <si>
    <t>MERCADO ORTEGA, FIDELIA</t>
  </si>
  <si>
    <t>ALARCON RODAS, FELICITAS</t>
  </si>
  <si>
    <t>GUIZADO CORDOVA, CLOTILDE</t>
  </si>
  <si>
    <t>ROMAN GIMENEZ, EPIFANIA</t>
  </si>
  <si>
    <t>TAIPE RODAS, NEMESIA</t>
  </si>
  <si>
    <t>GALDOS PALOMINO, SOFIA</t>
  </si>
  <si>
    <t>CARRASCO DE ORTEGA, MATILDE</t>
  </si>
  <si>
    <t>QUISPE RAMOS, GUILLERMO</t>
  </si>
  <si>
    <t>ANDIA JARA, DANIEL</t>
  </si>
  <si>
    <t>HUACHUHUILLCA GAMBOA, DANIEL</t>
  </si>
  <si>
    <t>QUISPE TELLO, VALENTINA</t>
  </si>
  <si>
    <t>LEGUIA PALOMINO, HIPOLITO</t>
  </si>
  <si>
    <t>QUISPE TELLO, NAZARIO</t>
  </si>
  <si>
    <t>GUIZADO RIVAS, EDILBERTO</t>
  </si>
  <si>
    <t>ROCA ORTEGA, VALENTINA</t>
  </si>
  <si>
    <t>RODRIGUEZ JIMENEZ, INDALECIO</t>
  </si>
  <si>
    <t>LOZANO ORTEGA, MARGARITA</t>
  </si>
  <si>
    <t>QUISPE RODRIGO, ANTONIO</t>
  </si>
  <si>
    <t>CONTRERAS CENTENO, ELIAS</t>
  </si>
  <si>
    <t>RAMOS VILLANO, HILDA</t>
  </si>
  <si>
    <t>RAMOS GUIZADO, CIRILO</t>
  </si>
  <si>
    <t>VILLANO LOBATON, NICOLAS</t>
  </si>
  <si>
    <t>CONTRERAS ANDIA, ADA LUZ</t>
  </si>
  <si>
    <t>MANCILLA CARDENAS, MARINO</t>
  </si>
  <si>
    <t>LOBATON PILLACA, SIMON</t>
  </si>
  <si>
    <t>ORTIZ CASTILLO, FIDELIA</t>
  </si>
  <si>
    <t>GUIZADO ANDIA, ELSA</t>
  </si>
  <si>
    <t>ORTIZ PEREZ, AUGUSTO</t>
  </si>
  <si>
    <t>OBREGON DE PEREZ, CERAFINA</t>
  </si>
  <si>
    <t>QUISPE PALOMINO, LAZARO</t>
  </si>
  <si>
    <t>QUISPE PALOMINO, MARINA</t>
  </si>
  <si>
    <t>QUISPE PALOMINO, VICENTANA ANACLA</t>
  </si>
  <si>
    <t>PEREZ REPOLLEDO, ALEJANDRINA</t>
  </si>
  <si>
    <t>PERALTA DE GUTIERREZ, SABINA</t>
  </si>
  <si>
    <t>LOA PARDO GUIZADO, MIGUEL</t>
  </si>
  <si>
    <t>GUTIERREZ PERALTA, MARCELINA</t>
  </si>
  <si>
    <t>PALOMINO RODRIGO, JUAN DE DIOS</t>
  </si>
  <si>
    <t>LOA GONZALES, OLGA</t>
  </si>
  <si>
    <t>VARGAS DE PESSI, FRANCISCA</t>
  </si>
  <si>
    <t>GONZALES RAMOS, JULIO</t>
  </si>
  <si>
    <t>GAMBOA REPOLLEDO, SIXTO</t>
  </si>
  <si>
    <t>MARIÑO DE LLOCCLLA, FELICITAS</t>
  </si>
  <si>
    <t>GAMBOA DE GUIZADO, ROSA</t>
  </si>
  <si>
    <t>PEREZ GUTIERREZ, BIVIANA</t>
  </si>
  <si>
    <t>PALOMINO HUACHOHUILLCA, JUAN PABLO</t>
  </si>
  <si>
    <t>CACERES GONZALES, ROLANDO</t>
  </si>
  <si>
    <t>GUTIERREZ RODAS, MELANIA</t>
  </si>
  <si>
    <t>PERES SALAZAR, TEODOSIA</t>
  </si>
  <si>
    <t>ALCARRAZ RODRIGO, LOURDES</t>
  </si>
  <si>
    <t>SALAS SAYAGO, YURFINA</t>
  </si>
  <si>
    <t>GUIZADO SALAZAR, LORENZO</t>
  </si>
  <si>
    <t>LOA RODAS, CARMELON</t>
  </si>
  <si>
    <t>LOA RODRIGO, KETTY</t>
  </si>
  <si>
    <t>CARDENAS RIVERA, GERARDINA</t>
  </si>
  <si>
    <t>GUTIERREZ ORTIZ, GUILLERMO</t>
  </si>
  <si>
    <t>DOMINGO ORTEGA, ALARCON</t>
  </si>
  <si>
    <t>GONZALES ORTIZ, WILFREDO</t>
  </si>
  <si>
    <t>GUIZADO DE PALOMINO, MERCEDES</t>
  </si>
  <si>
    <t>GALDOS RODRIGO, FELIX</t>
  </si>
  <si>
    <t>MANCILLA PERALTA, VICTOR</t>
  </si>
  <si>
    <t>LOA ORTIZ, LUIZ</t>
  </si>
  <si>
    <t>GUIZADO GUTIERREZ, MAXIMO</t>
  </si>
  <si>
    <t>GUIZADO HUARACA, ANICETO</t>
  </si>
  <si>
    <t>OBREGON ORTIZ, IRENE</t>
  </si>
  <si>
    <t>ALARCON PEREZ, EUGENIO</t>
  </si>
  <si>
    <t>PEREZ CARDENAS, NELY</t>
  </si>
  <si>
    <t>ALARCON GUILLEN, FRANCISCA</t>
  </si>
  <si>
    <t>PALOMINO LOA, MARIELA</t>
  </si>
  <si>
    <t>ORTIZ ALARCON, DOMINGA</t>
  </si>
  <si>
    <t>PEREZ FIERRO, BASILIA BALDOMIRA</t>
  </si>
  <si>
    <t>PEREZ CACERES, AURELIO</t>
  </si>
  <si>
    <t>JARA CACERES, SONIA</t>
  </si>
  <si>
    <t>CACERES DE JARA, FORTUNATA</t>
  </si>
  <si>
    <t>OBREGON ALARCON, JUAN DE LA CRUZ</t>
  </si>
  <si>
    <t>QUISPE YUCRA, ABELARDO</t>
  </si>
  <si>
    <t>LOA ARENAS, EDIBERTO</t>
  </si>
  <si>
    <t>ORTIZ LAGO, MARTER</t>
  </si>
  <si>
    <t>GUTIERREZ ORTIZ, HERMINIO</t>
  </si>
  <si>
    <t>RIVERA GUILLEN, SERAFINA</t>
  </si>
  <si>
    <t>QUISPE LOA, JUANA</t>
  </si>
  <si>
    <t>PACHECO ORTEGA, EDITH NESIDA</t>
  </si>
  <si>
    <t>GUIZADO ALARCON, MARIA</t>
  </si>
  <si>
    <t>HUAMAN QUISPE, TEODOSIA</t>
  </si>
  <si>
    <t>CARDENAS GUILLEN, MARCELINA</t>
  </si>
  <si>
    <t>ORTEGA RODRIGO, PAULINA</t>
  </si>
  <si>
    <t>ROMERO CASTILLO, ANA ELIZABETH</t>
  </si>
  <si>
    <t>GUIZADO ARENAS, LIYLA</t>
  </si>
  <si>
    <t>NAVEROS ORTEGA, PEDRO</t>
  </si>
  <si>
    <t>OBREGON GONZALES, CEFERINA</t>
  </si>
  <si>
    <t>MARTINES DE PERALES, ERNESTINA</t>
  </si>
  <si>
    <t>CARDENAS GUILLEN, PETRONILA</t>
  </si>
  <si>
    <t>NAVEROS ORTEGA, TIMOTEO</t>
  </si>
  <si>
    <t>GONZALES ORTEGA, FAUSTINO</t>
  </si>
  <si>
    <t>ORTEGA RODRIGO, HERMINIA</t>
  </si>
  <si>
    <t>ANAMPA JURO, MAXIMILIANO</t>
  </si>
  <si>
    <t>ALCARRAZ CONDOR, ADOLFO</t>
  </si>
  <si>
    <t>ALARCON RODRIGO, FELIX</t>
  </si>
  <si>
    <t>GUTIERREZ CACERES, ANDREA</t>
  </si>
  <si>
    <t>VALLES GUTIERREZ, BERTHA</t>
  </si>
  <si>
    <t>GUIZADO CAMPOS, JANETH</t>
  </si>
  <si>
    <t>OBREGON ORTEGA, ESTEBAN</t>
  </si>
  <si>
    <t>SERNA SALAZAR, FELICIANO</t>
  </si>
  <si>
    <t>ORTEGA CHIPANA, ROSALINA</t>
  </si>
  <si>
    <t>NAVEROS ORTEGA, ERIKA</t>
  </si>
  <si>
    <t>ORTEGA ALARCON, DEMETRIO</t>
  </si>
  <si>
    <t>GUIZADO SERNA, AYDEE</t>
  </si>
  <si>
    <t>GAMBOA CARDENAS, FELIX</t>
  </si>
  <si>
    <t>ORTEGA VALLES, JULIA</t>
  </si>
  <si>
    <t>SERNA GUTIERREZ, ROSALINDA</t>
  </si>
  <si>
    <t>PEREZ DE ALARCON, AURELIA</t>
  </si>
  <si>
    <t>ACOSTA MARIÑO DE GONZALES, FELICITAS</t>
  </si>
  <si>
    <t>SAN ANTONIO DE CACHI</t>
  </si>
  <si>
    <t>SAYAGO CACERES, JULIA</t>
  </si>
  <si>
    <t>GONZALES FLORES, ANATOLIA</t>
  </si>
  <si>
    <t>JIMENEZ ANDIA, TERESA</t>
  </si>
  <si>
    <t>GONZALES FLORES, URSULA</t>
  </si>
  <si>
    <t>GONZALES MARIÑO, HERMENES</t>
  </si>
  <si>
    <t>FLORES MARIÑO, NELSON</t>
  </si>
  <si>
    <t>ORTIZ SALAZAR, VIDALINA</t>
  </si>
  <si>
    <t>LOA DE ACUÑA, JUANA</t>
  </si>
  <si>
    <t>GONZALES MARIÑO, NILDA</t>
  </si>
  <si>
    <t>OBREGON GONZALES, JULIA</t>
  </si>
  <si>
    <t>FALCON GUIZADO, AURORA ANGELICA</t>
  </si>
  <si>
    <t>SARZO LOA, EDILIA</t>
  </si>
  <si>
    <t>LEGUIA RODRIGO, MARIBEL</t>
  </si>
  <si>
    <t>HUAMAN PASTOR, BACILIO</t>
  </si>
  <si>
    <t>HUAMAN PASTOR, PABLO SILVERIO</t>
  </si>
  <si>
    <t>ACOSTA BARRIAL, JACINTO</t>
  </si>
  <si>
    <t>QUISPE ACUÑA, CARLOS</t>
  </si>
  <si>
    <t>LUNA HUAMAN, MODESTO</t>
  </si>
  <si>
    <t>CACERES CHIPANA, ROSA</t>
  </si>
  <si>
    <t>GUIZADO QUISPE, VICTOR RECENCIO</t>
  </si>
  <si>
    <t>BARRIAL DE ZAVALA, AGAPITA</t>
  </si>
  <si>
    <t>LUNA GUTIERREZ, FEDERICO</t>
  </si>
  <si>
    <t>ALVARADO AQUISE, JACINTA</t>
  </si>
  <si>
    <t>RAMIREZ ROJAS, ALFONZO</t>
  </si>
  <si>
    <t>TOLEDO CCEÑUA, OSCAR</t>
  </si>
  <si>
    <t>HUAMAN , JULIANA</t>
  </si>
  <si>
    <t>RAMIREZ TOLEDO, LUISA</t>
  </si>
  <si>
    <t>ARONI HUAMAN, ANIBAL</t>
  </si>
  <si>
    <t>HUAMAN CCEÑUA, LUISA</t>
  </si>
  <si>
    <t>GUIZADO ACOSTA, PIO</t>
  </si>
  <si>
    <t>ACOSTA HUAYTARA, SOFIA</t>
  </si>
  <si>
    <t>HUAMAN MACHACCA, ANATOLIA</t>
  </si>
  <si>
    <t>GUIZADO HUAMAN, ALEJANDRA</t>
  </si>
  <si>
    <t>QUISPE QUISPE, MERCEDES</t>
  </si>
  <si>
    <t>CCEÑUA CHIQUILLAN, JULIANA</t>
  </si>
  <si>
    <t>MACHACCA ANCCO, VICTOR</t>
  </si>
  <si>
    <t>SERNA ANCCO, CAIN MELZAR</t>
  </si>
  <si>
    <t>AQUISE SICCE, EMILIANA</t>
  </si>
  <si>
    <t>URANMARCA</t>
  </si>
  <si>
    <t>ANDAZABAL ANDIA, JULIA</t>
  </si>
  <si>
    <t>CASTRO MARTINES, CLAUDIO</t>
  </si>
  <si>
    <t>GANBOA RAMIREZ, LUISA</t>
  </si>
  <si>
    <t>DIAZ CASTRO, TOMASA</t>
  </si>
  <si>
    <t>QUIJADA DE SAMORA, JUSTINO</t>
  </si>
  <si>
    <t>YAÑE NINJA, JAMONAL</t>
  </si>
  <si>
    <t>PALMA TALAVERANO, ANDRES</t>
  </si>
  <si>
    <t>CASTRO DE RIMACHI, FORTUNATA</t>
  </si>
  <si>
    <t>MARTINEZ YAÑE, ANTONIA</t>
  </si>
  <si>
    <t>SIERRA GRANADOS, VIOLETA</t>
  </si>
  <si>
    <t>CASTRO DE TALAVERANO, JULIA</t>
  </si>
  <si>
    <t>ORTEGA ROJAS, JULIANA CIPRIANA</t>
  </si>
  <si>
    <t>SIERRA TALAVERANO, TEOFILA</t>
  </si>
  <si>
    <t>ANDIA CASTRO, JOSE</t>
  </si>
  <si>
    <t>GARIBAY ESPINOZA DE TALAVERANO, FORTUNATA</t>
  </si>
  <si>
    <t>GOMEZ BARZOLA, GLADYS</t>
  </si>
  <si>
    <t>TALAVERANO SOTO, SATURNINO</t>
  </si>
  <si>
    <t>PILLACA TALAVERANO, ROSA VICTORIA</t>
  </si>
  <si>
    <t>SIERRA ALDASABAL, ORLANDINA</t>
  </si>
  <si>
    <t>TALAVERANO GARIBAY, CELISTINO</t>
  </si>
  <si>
    <t>MARTINEZ GOMEZ, NOEMI</t>
  </si>
  <si>
    <t>RRAMIREZ HERRERA, ANTONIO</t>
  </si>
  <si>
    <t>GORIBAY PEÑA, ROSSY</t>
  </si>
  <si>
    <t>ESPINOZA SIERRA, ELEIZABETH</t>
  </si>
  <si>
    <t>MARTINEZ BALBOA, EVA MARIA</t>
  </si>
  <si>
    <t>MARTINEZ BALBOA, DORCAS</t>
  </si>
  <si>
    <t>GARIBAY BALBOA, MAXIMILIANA</t>
  </si>
  <si>
    <t>ESPINOSA RIMACHI, CELSA</t>
  </si>
  <si>
    <t>BALBOA MONTOYA, NOLBERTO</t>
  </si>
  <si>
    <t>MARTINEZ GOMEZ, NICANOR</t>
  </si>
  <si>
    <t>ALDAZABAL SIERRA, PABLO</t>
  </si>
  <si>
    <t>CUCHO PASTOR DEORTEGA, ELENA</t>
  </si>
  <si>
    <t>CARRASCO TALAVERANO, ERMOGENES</t>
  </si>
  <si>
    <t>ORTIZ GUTIERREZ, MERCEDES</t>
  </si>
  <si>
    <t>GARIVAY TALAVERANO DE SOTO, TEOFILA</t>
  </si>
  <si>
    <t>ALDASABAL DE ROJAS, SILVIA</t>
  </si>
  <si>
    <t>RAMIRES BALBOA, JUSTINO</t>
  </si>
  <si>
    <t>ALDASABAL ANDIA, CELESTINA</t>
  </si>
  <si>
    <t>SOTO ALDAZABAL, POLONIA</t>
  </si>
  <si>
    <t>JOMES DE SOTO, FELICITAS</t>
  </si>
  <si>
    <t>ROJAS CASTRO, MARCELINA</t>
  </si>
  <si>
    <t>SOTO DE CASTRO, ALEJANTRO</t>
  </si>
  <si>
    <t>RIMACHI DE GARIBAY, JUSTINA</t>
  </si>
  <si>
    <t>ALDAZABAL HERRERA, MARINA</t>
  </si>
  <si>
    <t>QUIJADA CCOCHACHI, ANGEL</t>
  </si>
  <si>
    <t>QUIJADA CCOCHACHI, INCA</t>
  </si>
  <si>
    <t>GOMEZ DE GRANADOS, ISABEL</t>
  </si>
  <si>
    <t>SALBATIERRA RRIMACHI, ANGEL</t>
  </si>
  <si>
    <t>ORTIZ SOTO, YOLANDA</t>
  </si>
  <si>
    <t>GOMEZ ROJAS, MAXIMILIANA</t>
  </si>
  <si>
    <t>MARTINES RIVERA, AURELIA</t>
  </si>
  <si>
    <t>YAÑE GALINDO, FANY</t>
  </si>
  <si>
    <t>TALMO TALAVERANO, SONIA</t>
  </si>
  <si>
    <t>CCOCHAYHUA CASANCA, JESUS</t>
  </si>
  <si>
    <t>IVIAS GAMBOA, ESEQUIEL</t>
  </si>
  <si>
    <t>RAMIREZ GAMBOA, ROGER MICHEL</t>
  </si>
  <si>
    <t>GAMBOA GARIBAY, AGUSTINA</t>
  </si>
  <si>
    <t>LOA MARIÑO, LORENZA</t>
  </si>
  <si>
    <t>ZARABIA PERALES, ANITA</t>
  </si>
  <si>
    <t>PERALES ZEVALLOS, PAULINA</t>
  </si>
  <si>
    <t>NAVARRO DE OBREGON, FLORA</t>
  </si>
  <si>
    <t>PERALES DE OBREGON, OLGA ISABEL</t>
  </si>
  <si>
    <t>CABRERA LOBATON, LUCIO</t>
  </si>
  <si>
    <t>ZEVALLOS PERALES, DIONISIO</t>
  </si>
  <si>
    <t>TICLLACURI ARROYO, DELIANA</t>
  </si>
  <si>
    <t>CUSI ROMERO, TEOFILO</t>
  </si>
  <si>
    <t>PEREZ PECEROS, FIDEL</t>
  </si>
  <si>
    <t>GONZALEZ DE ROJAS, DONATILA</t>
  </si>
  <si>
    <t>VILLAGARAY CASTRO, ESTANISLAO</t>
  </si>
  <si>
    <t>BARBARAN YAÑEZ, GENARO</t>
  </si>
  <si>
    <t>LLACCTAS MARTINEZ, GENOVEVA</t>
  </si>
  <si>
    <t>TORRE MOLINA, LEONCIO MACEDONIO</t>
  </si>
  <si>
    <t>ROJAS FLORES, LUCIA</t>
  </si>
  <si>
    <t>GALINDO DE VALER, APOLINARIA</t>
  </si>
  <si>
    <t>ACEVEDO GONZALES, TERESA</t>
  </si>
  <si>
    <t>YANE MEDINA, PAULINO</t>
  </si>
  <si>
    <t>CHUMBE DE BARBARAN, CLAUDIA</t>
  </si>
  <si>
    <t>BARBARAN ACEVEDO, ASUNTA</t>
  </si>
  <si>
    <t>YAÑE BULEJE, ALVINA</t>
  </si>
  <si>
    <t>CCONISLLA DE ARIAS, MARGARITA</t>
  </si>
  <si>
    <t>ACEVEDO PAÑE, CLIMENTE</t>
  </si>
  <si>
    <t>MEDRANO CHUMBE, TEOFILO</t>
  </si>
  <si>
    <t>MEDINA GONZALES, ALEJANDRA</t>
  </si>
  <si>
    <t>GALINDO SICHA, INOCENCIO</t>
  </si>
  <si>
    <t>CHUMBI HUAYHUA, IRENEO</t>
  </si>
  <si>
    <t>YAÑE CARRASCO, YOLANDA</t>
  </si>
  <si>
    <t>ASEVEDO DE BARBARAN, ESPERANZA</t>
  </si>
  <si>
    <t>GODOY ALTAMIRANO, MARIA LUZ</t>
  </si>
  <si>
    <t>CASTILLO PALOMINO, LIDIA</t>
  </si>
  <si>
    <t>CAMPOS ORTEGA, LUZ MILA</t>
  </si>
  <si>
    <t>PALOMINO CASTILLO, NILO</t>
  </si>
  <si>
    <t>CHIPANA RUPAILLA, ROSA</t>
  </si>
  <si>
    <t>LLOCCLLA QUISPE, JESUS</t>
  </si>
  <si>
    <t>QUISPE ORTEGA, PEDRO MOISES</t>
  </si>
  <si>
    <t>QUISPE LLOCCLLA, VALENTIN</t>
  </si>
  <si>
    <t>ORTEGA OBREGON, INES</t>
  </si>
  <si>
    <t>GUILLEN URRUTIA, CIRILO</t>
  </si>
  <si>
    <t>CHICLLA GUTIERREZ, DAVID</t>
  </si>
  <si>
    <t>CCENTE FERNANDEZ, DOLORES CLAUDI</t>
  </si>
  <si>
    <t>DEL POZO C, MAXIMO</t>
  </si>
  <si>
    <t>RIVAS GUTIERREZ, DONATO</t>
  </si>
  <si>
    <t>GUTIERREZ CASTILLO, ROSA</t>
  </si>
  <si>
    <t>TINCOPA OBREGON, VIRGILIO</t>
  </si>
  <si>
    <t>PEREZ RAMIREZ, FELIX</t>
  </si>
  <si>
    <t>PEREZ RAMIREZ, LEONIDAS</t>
  </si>
  <si>
    <t>LUJAN RIVAS, LEOPOLDO</t>
  </si>
  <si>
    <t>JUNCO FLORES, AMADEO</t>
  </si>
  <si>
    <t>ANDIA GUTIERREZ, TEOFANES</t>
  </si>
  <si>
    <t>FLOREZ DE ANDIA, ANASTASIA</t>
  </si>
  <si>
    <t>FLORES ANDIA, MARIA TEODOSIA</t>
  </si>
  <si>
    <t>TINCOPA URRUTIA, JOSE</t>
  </si>
  <si>
    <t>ANDIA OBREGON, EPIFANIO</t>
  </si>
  <si>
    <t>MARIÑO OBREGON, FELICITAS</t>
  </si>
  <si>
    <t>MACEDO GUIZADO, GLADIS</t>
  </si>
  <si>
    <t>SAYAGO BERROCAL, CIRILO</t>
  </si>
  <si>
    <t>OBREGON DE MARIÑO, LORENZA</t>
  </si>
  <si>
    <t>LLACCHUAS COSME, LUIS</t>
  </si>
  <si>
    <t>ESCRIBA MENDEZ, ANTONIO</t>
  </si>
  <si>
    <t>HUASCO QUISPE, ANTONIO</t>
  </si>
  <si>
    <t>URRUTIA ANDIA, FELIX</t>
  </si>
  <si>
    <t>SULCA QUINTANA, LUISA</t>
  </si>
  <si>
    <t>LAURA DELGADO, EPIFANIO</t>
  </si>
  <si>
    <t>BARBOSA DE HUAMAN, JULIA</t>
  </si>
  <si>
    <t>MESCUA ALLCA, LARGIO</t>
  </si>
  <si>
    <t>QUISPE PONSECA, ZENOBIO</t>
  </si>
  <si>
    <t>HUASCO DE VEGA, JULIANA</t>
  </si>
  <si>
    <t>LAURA PARIONA, MARCELINO</t>
  </si>
  <si>
    <t>SULCA QUINTANA, RICARDO</t>
  </si>
  <si>
    <t>ABARCA RUIZ, MARIO</t>
  </si>
  <si>
    <t>SECCE RUPAILLA, MODESTO</t>
  </si>
  <si>
    <t>CORTEZ RUPAILLA, FORTUNATA</t>
  </si>
  <si>
    <t>CASAS OROSCO, JUAN</t>
  </si>
  <si>
    <t>CASAS QUISPE, NEMESIA</t>
  </si>
  <si>
    <t>SECCE QUISPE, ANTONIO</t>
  </si>
  <si>
    <t>CCAHUANA RUPAILLA, SEGUNDINO</t>
  </si>
  <si>
    <t>SECCE QUISPE, ENRIQUE</t>
  </si>
  <si>
    <t>SECCE DE QUISPE, ANDREA</t>
  </si>
  <si>
    <t>SECCE GONZALES, WALTER JULIO</t>
  </si>
  <si>
    <t>SECCE CASAS, MIGUEL</t>
  </si>
  <si>
    <t>QUISPE GUIZADO, GILBERTO</t>
  </si>
  <si>
    <t>ARONI VIVANCO, SEBASTIAN</t>
  </si>
  <si>
    <t>CEVALLOS ALARCON, SELA</t>
  </si>
  <si>
    <t>VARGAS CASO, CARMEN</t>
  </si>
  <si>
    <t>MOLERO CAMPOS, ESTELA CONSTANSA</t>
  </si>
  <si>
    <t>TIRACCAYA FERNANDEZ, PAULINO</t>
  </si>
  <si>
    <t>FARFAN VILLA, MAXIMO</t>
  </si>
  <si>
    <t>NAVARRO LOA, CLOTILDE</t>
  </si>
  <si>
    <t>BARRIENTOS YUPANQUI, MARTINA</t>
  </si>
  <si>
    <t>TOLEDO AREVALO, YOVANA</t>
  </si>
  <si>
    <t>HUAMANI GUTIERREZ, ERASMO</t>
  </si>
  <si>
    <t>CARTOLIN ROMERO, ERIZA</t>
  </si>
  <si>
    <t>RAMIREZ QUISPE, PAULINA</t>
  </si>
  <si>
    <t>GONZALES DE VENEGAS, TEOFILA</t>
  </si>
  <si>
    <t>VENEGAS ALHUAY, NATALIA</t>
  </si>
  <si>
    <t>CHIQUILLAN AMORIN, MARINA</t>
  </si>
  <si>
    <t>PEREZ HERHUAY, EPIFANIA</t>
  </si>
  <si>
    <t>CANCHO CENTENO, PABLO</t>
  </si>
  <si>
    <t>ATAUCUSI VILCHES, ESTELA</t>
  </si>
  <si>
    <t>CARO FLORES, EUDOSIA</t>
  </si>
  <si>
    <t>CARDENAS CARO, YSMAEL</t>
  </si>
  <si>
    <t>MINAYA DE ARCE, CRISTINA</t>
  </si>
  <si>
    <t>CARTOLIN DE OLIVARES, AURELIA</t>
  </si>
  <si>
    <t>FLORES DE ALARCON, DEMETRIA</t>
  </si>
  <si>
    <t>CARTOLIN TITO, DARIO</t>
  </si>
  <si>
    <t>ARCE MINAYA, DONATILA</t>
  </si>
  <si>
    <t>CABEZAS M.ARMANDO, ARMANDO</t>
  </si>
  <si>
    <t>GUTIERREZ SALAZAR, TOMAS VICTOR</t>
  </si>
  <si>
    <t>CHOQUE CARDENAS, JORGE</t>
  </si>
  <si>
    <t>MITMA CARRASCO, REYNA</t>
  </si>
  <si>
    <t>MALMOREJON PEREZ, ALEJANDRA</t>
  </si>
  <si>
    <t>HUAMANI CARDENAS, MATEO</t>
  </si>
  <si>
    <t>HUAMANI DE MALLMA, MAURA</t>
  </si>
  <si>
    <t>SILVA FLORES, JUAN GONZALO</t>
  </si>
  <si>
    <t>CARDENAS INFANZON, MIZAEL</t>
  </si>
  <si>
    <t>CARTOLIN MALLMA, SAMUEL</t>
  </si>
  <si>
    <t>FLORES MALLMA, LORENZO</t>
  </si>
  <si>
    <t>ASTOQUILLCA ARCCE, ESTEBAN</t>
  </si>
  <si>
    <t>RICO VALLEJOS, SENOVIO</t>
  </si>
  <si>
    <t>FLORES VALLEJOS, VIDAL</t>
  </si>
  <si>
    <t>CARDENAS AGUERO, ALFREDO</t>
  </si>
  <si>
    <t>ARCCE HUAMANI, FELICIANO</t>
  </si>
  <si>
    <t>LLACCTAS GONZALES, VICTOR</t>
  </si>
  <si>
    <t>VEGA ATAUCUSI, TELESFORO</t>
  </si>
  <si>
    <t>ROMERO ARONI, ARTEMIO</t>
  </si>
  <si>
    <t>CABEZAS VEGA, MARIA ROSA</t>
  </si>
  <si>
    <t>FLORES ROJAS, JUANA</t>
  </si>
  <si>
    <t>CHIPANA QUISPE, CARMEN</t>
  </si>
  <si>
    <t>GONZALES FLORES, DELIA</t>
  </si>
  <si>
    <t>QUISPE ARCCE, MERCEDES</t>
  </si>
  <si>
    <t>LLALLIRE MANSILLA, MODESTO</t>
  </si>
  <si>
    <t>ARCE RAMIREZ, EFRAIN</t>
  </si>
  <si>
    <t>CARDENAS AGUERO, URIEL</t>
  </si>
  <si>
    <t>QUISPE CARDENAS, ODULIA</t>
  </si>
  <si>
    <t>CHIPANA MENDIVEL, VICTORIA</t>
  </si>
  <si>
    <t>FLORES ATAUCUSI, ARISTIDES</t>
  </si>
  <si>
    <t>CHAVEZ PALOMINO, JULIO</t>
  </si>
  <si>
    <t>ARONE FLORES, VALENTIN</t>
  </si>
  <si>
    <t>CHIPANA OSNAYO, VILMA</t>
  </si>
  <si>
    <t>VEGA AGUERO, ISABEL</t>
  </si>
  <si>
    <t>ARONI CHIPANA, ISABEL</t>
  </si>
  <si>
    <t>QUISPE VEGA, SANTOS</t>
  </si>
  <si>
    <t>VIVANCO VILCHEZ, LUZ MILA</t>
  </si>
  <si>
    <t>ARCE ATACUSI, CIRILA</t>
  </si>
  <si>
    <t>PEREZ GONZALES, CLEMENTINA</t>
  </si>
  <si>
    <t>CARTOLIN CARO, EMILIO</t>
  </si>
  <si>
    <t>HUAMANI FLORES, CRISTOBAL</t>
  </si>
  <si>
    <t>GONZALES AMORIN, CRISTINA</t>
  </si>
  <si>
    <t>VIVANCO ROMERO, SAMUEL ROLANDO</t>
  </si>
  <si>
    <t>PECEROS MALLMA, AMELIA</t>
  </si>
  <si>
    <t>SAENZ QUISPE, EDITH</t>
  </si>
  <si>
    <t>INFANZON TOLEDO, CELESTINO</t>
  </si>
  <si>
    <t>ATAUCUSI CARTOLIN, RICARDO</t>
  </si>
  <si>
    <t>CHIQUILLAN GONZALES, EVANGELINA</t>
  </si>
  <si>
    <t>TOLEDO MINAYA, EULALIA</t>
  </si>
  <si>
    <t>PECEROS MALLMA, HERMINIA</t>
  </si>
  <si>
    <t>CARDENAS VENEGAS, MAURA</t>
  </si>
  <si>
    <t>CHIARA</t>
  </si>
  <si>
    <t>CARDENAS DE QUISPE, LUCIA</t>
  </si>
  <si>
    <t>MORENO DE ALBITES, GAUDENCIA</t>
  </si>
  <si>
    <t>CABEZAS DE CHIPANA, PAULINA</t>
  </si>
  <si>
    <t>ALVITES MORENO, LUIS ODEN</t>
  </si>
  <si>
    <t>JANAMPA DE LA CRUZ, RAQUEL</t>
  </si>
  <si>
    <t>SAEZ SALAZAR, TEOFILA</t>
  </si>
  <si>
    <t>CARRASCO ROJAS, VALERIO</t>
  </si>
  <si>
    <t>CHIPANA ARCCE, ESTHER</t>
  </si>
  <si>
    <t>CANCHARI DE CARTOLIN, ROSALBINA</t>
  </si>
  <si>
    <t>ORTEGA ROJAS, JUANITA</t>
  </si>
  <si>
    <t>JUAREZ DE CHIPANA, JESUSA</t>
  </si>
  <si>
    <t>CARRASCO RODAS, MAXIMILIANA</t>
  </si>
  <si>
    <t>ROJAS MEDINA, FELIX</t>
  </si>
  <si>
    <t>ESPINOZA GAMBOA, JUAN MESIAS</t>
  </si>
  <si>
    <t>SUCRE</t>
  </si>
  <si>
    <t>SAN SALVADOR DE QUIJE</t>
  </si>
  <si>
    <t>SANCA QUISPE, ELENA PAULINA</t>
  </si>
  <si>
    <t>SIANCAS NIETO, AYDA</t>
  </si>
  <si>
    <t>NIETO GASPAR, ENRIQUE</t>
  </si>
  <si>
    <t>PALACIOS ALFARO, VICTOR</t>
  </si>
  <si>
    <t>ARCE ARIAS, JUAN</t>
  </si>
  <si>
    <t>TELLO CABANA, EDGAR CRISANTO</t>
  </si>
  <si>
    <t>ARONE ALVAREZ, AYDE</t>
  </si>
  <si>
    <t>ANTAY NIETO, ADOLFO</t>
  </si>
  <si>
    <t>SANCA VALDEZ, LUCILA</t>
  </si>
  <si>
    <t>DE LA CRUZ ALVAREZ, ALEJANDRO</t>
  </si>
  <si>
    <t>TOMAYQUISPE SANCA, VICTOR ELIAS</t>
  </si>
  <si>
    <t>LOPEZ CABANA, JAIME WALTER</t>
  </si>
  <si>
    <t>DE LA CRUZ SANCA, PAULINA</t>
  </si>
  <si>
    <t>PALACIOS TELLO, MARTHA</t>
  </si>
  <si>
    <t>DE LA CRUZ GAMBOA, ANGELO CRISOSTOMO</t>
  </si>
  <si>
    <t>NIETO SIANCAS, MELANIA</t>
  </si>
  <si>
    <t>NIETO CONDE, LUCIO</t>
  </si>
  <si>
    <t>ALFARO MELENDEZ, SILVIA GLADYS</t>
  </si>
  <si>
    <t>ZEVALLOS MELENDEZ, SOLEDAD</t>
  </si>
  <si>
    <t>GARIBAY DE RAMIREZ, FELICITA</t>
  </si>
  <si>
    <t>CANCHO ROCHA, ROLANDO</t>
  </si>
  <si>
    <t>ZEVALLOS GARIBAY, FELIX</t>
  </si>
  <si>
    <t>FLORES GAMBOA, JUAN</t>
  </si>
  <si>
    <t>RAMIREZ GARIBAY, DIGNA</t>
  </si>
  <si>
    <t>CABANA VALDEZ, EULOGIO</t>
  </si>
  <si>
    <t>CENTENO SILVERA, JULIO CRISPIN</t>
  </si>
  <si>
    <t>CABANA ALFARO, CELIDONIA</t>
  </si>
  <si>
    <t>GAMBOA DE MELENDEZ, BENIDICTA</t>
  </si>
  <si>
    <t>ALVAREZ LIZARME, ROSA</t>
  </si>
  <si>
    <t>CABEZAS GARIBAY, DIONISIA</t>
  </si>
  <si>
    <t>NIETO QUISPE, MARIA ADELA</t>
  </si>
  <si>
    <t>PALACIOS PERALTA, CELESTINO</t>
  </si>
  <si>
    <t>JANAMPA DE GARIBAY, JUANA</t>
  </si>
  <si>
    <t>ANTAY CABANA, MAURO</t>
  </si>
  <si>
    <t>PALACIOS PERALTA, OSCAR</t>
  </si>
  <si>
    <t>PALACIOS PERALTA, ROSALINA</t>
  </si>
  <si>
    <t>ALFARO DE CAMARGO, TEOFILA</t>
  </si>
  <si>
    <t>GAMBOA ALFARO, PELAGIO</t>
  </si>
  <si>
    <t>LOPEZ CABANA, ABELARDO</t>
  </si>
  <si>
    <t>NIETO PALACIOS, ROSA VALENTINA</t>
  </si>
  <si>
    <t>TELLO CABANA, JUAN YONY</t>
  </si>
  <si>
    <t>TELLO CABANA, AQUILINO SANTIAGO</t>
  </si>
  <si>
    <t>INCA BALDEON, ROSA</t>
  </si>
  <si>
    <t>PRETEL SOTO DE AYALA, EUDOCIA</t>
  </si>
  <si>
    <t>POLIDO BULEJE, JACINTA</t>
  </si>
  <si>
    <t>VALDEZ NIETO, MERCEDES</t>
  </si>
  <si>
    <t>GALVAN CARDENAS, VITALICIO</t>
  </si>
  <si>
    <t>SALCEDO VALENCIA, OLIMPIA</t>
  </si>
  <si>
    <t>CAMARGO GUILLEN, FREDDY</t>
  </si>
  <si>
    <t>CHILCAYOC</t>
  </si>
  <si>
    <t>OLIVARES ÑAHUIS, GERARDA</t>
  </si>
  <si>
    <t>SALAZAR OLIVARES, ABEL</t>
  </si>
  <si>
    <t>SALAZAR DE CABEZAS, ALFONSO</t>
  </si>
  <si>
    <t>ALFARO ARIAS, APARICIO</t>
  </si>
  <si>
    <t>CANCHO GUILLEN, PAULINO</t>
  </si>
  <si>
    <t>CANCHO GUILLEN, CARMEN</t>
  </si>
  <si>
    <t>TORRES CABEZAS, CRISPIN ZACARIAS</t>
  </si>
  <si>
    <t>RAMIREZ RAMIREZ, LUISA</t>
  </si>
  <si>
    <t>CABEZAS GAMBOA, PEDRO PABLO</t>
  </si>
  <si>
    <t>AYALA SALAZAR, BERNARDINO</t>
  </si>
  <si>
    <t>OLIVARES CABEZAS, JESUS</t>
  </si>
  <si>
    <t>BULEJE VALDEZ, MADELEY</t>
  </si>
  <si>
    <t>BALDEON CABEZAS, EUDOSIA ELEUTERIA</t>
  </si>
  <si>
    <t>SECAS ZAMORA, ERIKA CRESENCIA</t>
  </si>
  <si>
    <t>AYALA BOLEJE, REYNA</t>
  </si>
  <si>
    <t>LLANGE MINAYA, MARIA ISABEL</t>
  </si>
  <si>
    <t>ZAMORA GUILLEN, FORTUNATA JULIA</t>
  </si>
  <si>
    <t>CABEZAS ROJAS, FRANCISCO</t>
  </si>
  <si>
    <t>ALVAREZ CAYLLAHUA, MAURO CRISPIN</t>
  </si>
  <si>
    <t>SALAZAR BARRIENTOS, CARLOTA</t>
  </si>
  <si>
    <t>RAMIREZ BALDEON, PABLO TOMAS</t>
  </si>
  <si>
    <t>CABEZAS MINAYA, CRESPIN</t>
  </si>
  <si>
    <t>SALCEDO MENDIVIL, ENRIQUE</t>
  </si>
  <si>
    <t>SALAZAR AYALA, EDITH PILAR</t>
  </si>
  <si>
    <t>AYALA BULEJE, MARINA</t>
  </si>
  <si>
    <t>AYALA DAMIAN, JUANA</t>
  </si>
  <si>
    <t>ÑAHUIS SALAZAR, ESTELA</t>
  </si>
  <si>
    <t>CARDENAS AYALA, PELAGIA</t>
  </si>
  <si>
    <t>MENDIVIL CABEZAS, TEOFILO</t>
  </si>
  <si>
    <t>CAYLLAHUA ANTEZANA, ESTEBAN</t>
  </si>
  <si>
    <t>AYALA DAMIAN, MARTHA IRENE</t>
  </si>
  <si>
    <t>SANCHEZ GOMEZ, CELSO</t>
  </si>
  <si>
    <t>CABEZAS ARCE, AGAPITO</t>
  </si>
  <si>
    <t>ARIAS CABEZAS, DAISE</t>
  </si>
  <si>
    <t>SALAZAR SALCEDO, TEOFILA</t>
  </si>
  <si>
    <t>ALCARRAZA CABEZAS, GREGORIA</t>
  </si>
  <si>
    <t>GARIBAY QUINTO, ELISEA</t>
  </si>
  <si>
    <t>TORRES CABEZAS, EDUARDO</t>
  </si>
  <si>
    <t>CABEZAS CAMARGO, EPIFANIA</t>
  </si>
  <si>
    <t>AYALA CANCHO, HIPOLITO</t>
  </si>
  <si>
    <t>TORRES QUINTO, UBALDINA</t>
  </si>
  <si>
    <t>SALCEDO CABEZAS, VICTORIA</t>
  </si>
  <si>
    <t>QUINTO SALCEDO, VALENTINA</t>
  </si>
  <si>
    <t>PALACIOS CALLE, VICTORIA</t>
  </si>
  <si>
    <t>PALACIOS BARRIENTOS, EULALIA</t>
  </si>
  <si>
    <t>CAYLLAHUA ALVAREZ, ROSALINA</t>
  </si>
  <si>
    <t>ARCE QUINTO, TRIFUNIA</t>
  </si>
  <si>
    <t>ANTEZANA SALCEDO, BERNARDINO</t>
  </si>
  <si>
    <t>ARIAS CAMARGO, VALENTINA VICTORIA</t>
  </si>
  <si>
    <t>AYALA FLORES, RODRIGO ROMULO</t>
  </si>
  <si>
    <t>CESPEDES TELLO, ESTELA</t>
  </si>
  <si>
    <t>SALCEDO CARRION, DELIA</t>
  </si>
  <si>
    <t>BULEJE NAHUIS, DELIA MARINA</t>
  </si>
  <si>
    <t>MENDIVEL RODAS, GONZALINA CONCEPCION</t>
  </si>
  <si>
    <t>MENDIVIL LEON, MARCIANO ZENON</t>
  </si>
  <si>
    <t>PEÑALOZA VALDEZ, PELAGIA</t>
  </si>
  <si>
    <t>HUACHACA CONTRERAS, ALEJANDRA ZOYLA</t>
  </si>
  <si>
    <t>PERALTA ZAMORA, DELIA</t>
  </si>
  <si>
    <t>QUILLCA RODRIGUEZ, MARTINA</t>
  </si>
  <si>
    <t>MENDIVIL RODAS, YANET MADELEN</t>
  </si>
  <si>
    <t>PERALTA RODAS, MARUJA JULIA</t>
  </si>
  <si>
    <t>OSORIO VALDEZ, EMILIA</t>
  </si>
  <si>
    <t>CHALCOS</t>
  </si>
  <si>
    <t>LEON LOZANO, EDGAR</t>
  </si>
  <si>
    <t>CASTRO CONTRERAS, PETRONILA</t>
  </si>
  <si>
    <t>RAMIREZ OCHOA, CRISTINA</t>
  </si>
  <si>
    <t>LAGOS HUASHUAYLLO, ALFONSO PAULINO</t>
  </si>
  <si>
    <t>PAREJA HUACHACA, BLACIDA GLADYS</t>
  </si>
  <si>
    <t>BULEJE RAMIREZ, TOMAS</t>
  </si>
  <si>
    <t>RONDINELLI LAGOS, CONCEPCION</t>
  </si>
  <si>
    <t>CONTRERAS SALCEDO, JUAN ALEJANDRO</t>
  </si>
  <si>
    <t>ZEVALLOS RODRIGUEZ, MARIA ELENA</t>
  </si>
  <si>
    <t>ALFARO RODRIGUEZ, IGNACIO FELIX</t>
  </si>
  <si>
    <t>SALCEDO VALDEZ, VILMA</t>
  </si>
  <si>
    <t>ASTOQUILCA JUARES, EUDOSIA</t>
  </si>
  <si>
    <t>GUILLEN LEON, VICTORIA</t>
  </si>
  <si>
    <t>PICHIHUA BARRIENTOS, FRANCISCO</t>
  </si>
  <si>
    <t>RODAS RAMIREZ, MARCIANA VICTORIA</t>
  </si>
  <si>
    <t>RIVAS LOPEZ, DELIA FELICITA</t>
  </si>
  <si>
    <t>BARRIENTOS SALCEDO, TEODOMIRO</t>
  </si>
  <si>
    <t>RODRIGUEZ BALDEON, JULIA</t>
  </si>
  <si>
    <t>BALDEON GAMBOA, NEMESIO</t>
  </si>
  <si>
    <t>PICHIHUA ALFARO, VICTOR RAUL</t>
  </si>
  <si>
    <t>ZARAGOZA ALFARO, SHERON</t>
  </si>
  <si>
    <t>MELENDRES GARCIA, MAURA JUSTA</t>
  </si>
  <si>
    <t>TAVERA ARIAS DE RAMIRES, AGRIPINA</t>
  </si>
  <si>
    <t>TORRES CABEZAS, SONIA</t>
  </si>
  <si>
    <t>ALFARO VALDES, AGUSTIN JOSE</t>
  </si>
  <si>
    <t>SALCEDO RAMIREZ, LEONARDO FELIX</t>
  </si>
  <si>
    <t>ILLANCONSA SANCHEZ, GREGORIO TORIBIO</t>
  </si>
  <si>
    <t>CABEZAS MERCADO, HERACLIA CRIMALDA</t>
  </si>
  <si>
    <t>RODRIGUEZ HUACHACA, IRENE</t>
  </si>
  <si>
    <t>MARCAS QUISPE, PAULINA DELIA</t>
  </si>
  <si>
    <t>FLORES RAMIREZ, IGNACIA</t>
  </si>
  <si>
    <t>RIVERA ROQUE, ESTHER MARGARITA</t>
  </si>
  <si>
    <t>BALDEON SALCEDO, CLAUDIA</t>
  </si>
  <si>
    <t>FLORES RAMIREZ, MARIA</t>
  </si>
  <si>
    <t>ALFARO VALDEZ, INES SIMEONA</t>
  </si>
  <si>
    <t>BALDEON SALCEDO, JESUS GREGORIO</t>
  </si>
  <si>
    <t>SIANCAS SALCEDO, BENJAMINA</t>
  </si>
  <si>
    <t>SIANCAS RAMIREZ, JACINTA</t>
  </si>
  <si>
    <t>VALDEZ FARFAN, PRESENTACIONA</t>
  </si>
  <si>
    <t>PAREJA HUACHACA, FELICIANO JUAN</t>
  </si>
  <si>
    <t>RODRIGUEZ ZEVALLOS, MARLENE</t>
  </si>
  <si>
    <t>ZEVALLOS AVILES, ALBINA</t>
  </si>
  <si>
    <t>RODRIGUEZ ZEVALLOS, PABLO</t>
  </si>
  <si>
    <t>VALDEZ VALDEZ, RAQUEL</t>
  </si>
  <si>
    <t>LAGOS GAMBOA, ZOILA ESTHER</t>
  </si>
  <si>
    <t>PAREJA RONDINEL, GENARO MARSELL</t>
  </si>
  <si>
    <t>SANCHEZ ILLACONZA, VIRGILIO FILOMENO</t>
  </si>
  <si>
    <t>YLLACONZA SHERON, JULIAN CRISOSTOMO</t>
  </si>
  <si>
    <t>GALVEZ ILLACONZA, MODESTA</t>
  </si>
  <si>
    <t>PERALTA GOMEZ, NANCY</t>
  </si>
  <si>
    <t>SANCHEZ OLARTE, GLORIA</t>
  </si>
  <si>
    <t>OLARTE FLORES, AGUSTINA</t>
  </si>
  <si>
    <t>GAMBOA ARANGO, CRICILDA</t>
  </si>
  <si>
    <t>ILLACONZA SANCHEZ, RAFAEL</t>
  </si>
  <si>
    <t>FLORES AYALA, HERACLEA URSULA</t>
  </si>
  <si>
    <t>FLORES CABEZAS, LIDIA ESTEFA</t>
  </si>
  <si>
    <t>ILLACONZA SANCHES, MAURA</t>
  </si>
  <si>
    <t>FLORES RAMIREZ, JACINTO PABLO</t>
  </si>
  <si>
    <t>SALCEDO MEZA, FELICIANO</t>
  </si>
  <si>
    <t>FLORES CABEZAS, LEONCIO VIRGILIO</t>
  </si>
  <si>
    <t>BALDEON PILLACA, SANTIAGO ISAAC</t>
  </si>
  <si>
    <t>BELEN</t>
  </si>
  <si>
    <t>GOMEZ DE AYALA, FORTUNATA</t>
  </si>
  <si>
    <t>SAUÑE ATAUJE, NANCY</t>
  </si>
  <si>
    <t>RAMIREZ ROMERO, JUANITA</t>
  </si>
  <si>
    <t>FLORES HUARANGA, OSCAR JOSE</t>
  </si>
  <si>
    <t>AYALA DE HUARANCCA, CLOTILDE</t>
  </si>
  <si>
    <t>ROMERO PEREZ, TEODOMIRO SANTIAGO</t>
  </si>
  <si>
    <t>HUARANCCA VENTURA, MAMERTO</t>
  </si>
  <si>
    <t>HUARANCA AYALA, RAUL ORLANDO</t>
  </si>
  <si>
    <t>AYALA GOMEZ, EMILIANO</t>
  </si>
  <si>
    <t>OCHOA VALDEZ, JOEL MIQUEAS</t>
  </si>
  <si>
    <t>CASTILLO DE HUASHUAYLLO, AURELIA</t>
  </si>
  <si>
    <t>VALDEZ RONDINELLI, HERNAN</t>
  </si>
  <si>
    <t>GOMEZ FLORES, ODILIA</t>
  </si>
  <si>
    <t>ROJAS VENTURA, JORGE</t>
  </si>
  <si>
    <t>AYALA LOAYZA, OTILIA</t>
  </si>
  <si>
    <t>VENTURA DE FLORES, FERNANDINA</t>
  </si>
  <si>
    <t>PEREZ AYALA DE CARDENAS, REGINA</t>
  </si>
  <si>
    <t>LLALLIRE VALDEZ, MAXIMO</t>
  </si>
  <si>
    <t>ROMERO HUASHUAYLLO, CATALINA ERASMA</t>
  </si>
  <si>
    <t>AYALA DE HUARANCCA, RAYMUNDA</t>
  </si>
  <si>
    <t>PEREZ AYALA DE CARDENAS, MAXIMILIANA</t>
  </si>
  <si>
    <t>CHATE OCHOA, MARCELINO</t>
  </si>
  <si>
    <t>CABEZAS CUAREZ, ASCENCIANA</t>
  </si>
  <si>
    <t>RAMOS ILLACONZA, CLEOFE CASILDA</t>
  </si>
  <si>
    <t>AYALA FLORES, FORTUNATO</t>
  </si>
  <si>
    <t>ROMERO MANCILLA, MARIA</t>
  </si>
  <si>
    <t>PEREZ ORTIZ, JORGE JOSE</t>
  </si>
  <si>
    <t>AYALA DE CERON, DELIA</t>
  </si>
  <si>
    <t>FLORES CABEZAS, TIBURCIO</t>
  </si>
  <si>
    <t>SHERON GOMEZ, ELEODORO</t>
  </si>
  <si>
    <t>NAVARRO CABEZAS, FLORENTINA</t>
  </si>
  <si>
    <t>SHERON FLORES, FERNANDA TEOFILA</t>
  </si>
  <si>
    <t>CABEZAS SERRANO, GERONIMO</t>
  </si>
  <si>
    <t>ROJAS DE MARTINEZ, MAGDALINA SOFIA</t>
  </si>
  <si>
    <t>VALDEZ RONDINELLI, JUAN</t>
  </si>
  <si>
    <t>RIVERA YLLANES, REMIGIA</t>
  </si>
  <si>
    <t>AYALA DE HUAMANI, PASTORA LUCIA</t>
  </si>
  <si>
    <t>CABEZAS DE VILLAVECENCIO, CRISPINIA</t>
  </si>
  <si>
    <t>NAVARRO CABEZAS, AGUSTINA</t>
  </si>
  <si>
    <t>HUAMANI VENTURA, NANCY INOCENCIA</t>
  </si>
  <si>
    <t>NAVARRO DE CABEZAS, EULOGIA</t>
  </si>
  <si>
    <t>ROMERO DE RAMIREZ, OCTAVIA</t>
  </si>
  <si>
    <t>ALCARRAZA RODRIGUEZ, FLORINDA</t>
  </si>
  <si>
    <t>RAMIREZ QUISPE DE ATIQUIPA, CELESTINA</t>
  </si>
  <si>
    <t>PEREZ YLLACONZA, JORGUE AURELIO</t>
  </si>
  <si>
    <t>SERRANO GUTIERREZ DE CABEZAS, BRIGIDA</t>
  </si>
  <si>
    <t>ALVAREZ RODAS, DARIA</t>
  </si>
  <si>
    <t>UTANI ALBINO, SANTOS</t>
  </si>
  <si>
    <t>UTANI ALVIÑO, FELICITAS</t>
  </si>
  <si>
    <t>VEGA PONCECA, JUSTINIANO</t>
  </si>
  <si>
    <t>ABARCA UTANI, VICTORIA</t>
  </si>
  <si>
    <t>UTANI ALVINO, SATURNINO</t>
  </si>
  <si>
    <t>VEGA PONCECA, JULIO</t>
  </si>
  <si>
    <t>QUISPE HUASCO, ALEJANDRO</t>
  </si>
  <si>
    <t>ARCOS HUAMANI, CLARA</t>
  </si>
  <si>
    <t>RUIZ AYQUIPA, CASIMIRA</t>
  </si>
  <si>
    <t>SOTAYA OLIVARES, JUAN</t>
  </si>
  <si>
    <t>ISLACHIN TITO, SIMEONA</t>
  </si>
  <si>
    <t>HUASCO POCCO, CIPRIANA</t>
  </si>
  <si>
    <t>HUASCO ARCOS, ALBERTO</t>
  </si>
  <si>
    <t>PONSECA AUQUIRIMA, VICTOR MARCELO</t>
  </si>
  <si>
    <t>AIQUIPA PONCECA, ASCENCION</t>
  </si>
  <si>
    <t>ABARCA UTANI, MARCELINO</t>
  </si>
  <si>
    <t>TURPO</t>
  </si>
  <si>
    <t>HUAYLLAS CHIRCCA, AYDEE</t>
  </si>
  <si>
    <t>MARCATOMA YUPANQUI, LIDIA</t>
  </si>
  <si>
    <t>ALHUAY HUAMAN, GRACIELA</t>
  </si>
  <si>
    <t>ALHUAY HUAMAN, MARCELINO</t>
  </si>
  <si>
    <t>ALHUAY PALOMINO VDA. DE ALHUAY, EMILIA</t>
  </si>
  <si>
    <t>CONTRERAS LLACCHUAS, LORENZA</t>
  </si>
  <si>
    <t>UQUICHI HUAMAN, MAURO</t>
  </si>
  <si>
    <t>CASANCA SAQUI, ANDRES</t>
  </si>
  <si>
    <t>LUDEÑA MOLINA, OLINDA</t>
  </si>
  <si>
    <t>AHUAY LLACCHUAS, OLGA</t>
  </si>
  <si>
    <t>ROMERO ORTIZ, MONICA</t>
  </si>
  <si>
    <t>MALDONADO MATUTE, VICTOR LUCAS</t>
  </si>
  <si>
    <t>CASANCA PALOMINO, SIXTO</t>
  </si>
  <si>
    <t>QUISPE LLACHUA, ALBERTO</t>
  </si>
  <si>
    <t>MANUICO CASAFRANCA, EUGUENIO</t>
  </si>
  <si>
    <t>LLACCHUAS RODAS, FRANCISCO</t>
  </si>
  <si>
    <t>CHIRCCA QUISPE, NEMESIO</t>
  </si>
  <si>
    <t>PALOMINO MOLINA, TEODORA</t>
  </si>
  <si>
    <t>CHIRCCA DE RODAS, ALEJANDRA</t>
  </si>
  <si>
    <t>MAÑUICO OSCCORIMA, FILOMENO</t>
  </si>
  <si>
    <t>CUSI CHIRCCA, SONIA MARINA</t>
  </si>
  <si>
    <t>OSCCORIMA OMERO, DELIA</t>
  </si>
  <si>
    <t>ALHUAY BAUTISTA38, MARIA</t>
  </si>
  <si>
    <t>ALHUAY VILLANUEVA, ESTEFA</t>
  </si>
  <si>
    <t>VILLANUEVA MAÑUICO, ALEJANDRO</t>
  </si>
  <si>
    <t>HUIYHUA PARIONA, JUSTINA</t>
  </si>
  <si>
    <t>MAÑUICO CHIRCCA, BELIZARIO</t>
  </si>
  <si>
    <t>AROSTE HUAYTARA, EMILIA</t>
  </si>
  <si>
    <t>ALHUAY DE MATUTE, DOMITILA</t>
  </si>
  <si>
    <t>LLACHUAS ALHUAY, SOFIA</t>
  </si>
  <si>
    <t>BAUTISTA DE MOLINA, TEODOCIA</t>
  </si>
  <si>
    <t>RODAS PALOMINO, HERMELINDA</t>
  </si>
  <si>
    <t>CASANCA CONTRERAS, ELADIO</t>
  </si>
  <si>
    <t>TRIOS LUJAN, EMERCIA</t>
  </si>
  <si>
    <t>PALOMINO RODAS, GLADYZA</t>
  </si>
  <si>
    <t>ALHUAY ALHUAY, ORFELINDA</t>
  </si>
  <si>
    <t>SAQUI HUARACA, HERMELINDA</t>
  </si>
  <si>
    <t>LUDEÑA YUPANQUI, CESAR</t>
  </si>
  <si>
    <t>CASANCA DE YUPANQUI, DIONICIA</t>
  </si>
  <si>
    <t>LLACCHAS RODAS, VICTOR HERMINIO</t>
  </si>
  <si>
    <t>SAQUI PALOMINO, VICTOR</t>
  </si>
  <si>
    <t>MENDIVIL CHIRCCA, DONATO</t>
  </si>
  <si>
    <t>PARIONA AYQUIPA, YESSICA</t>
  </si>
  <si>
    <t>CHIRCCA RUPAILLA, BENEDICTA</t>
  </si>
  <si>
    <t>MENDIVIL PALOMINO, HAYDEE LUZ</t>
  </si>
  <si>
    <t>HUARACA DE CCAHUANA, SOFIA</t>
  </si>
  <si>
    <t>ALHUAY DE ROJAS, HERMOGENA</t>
  </si>
  <si>
    <t>CCOYCCA CUSI, RUFINA</t>
  </si>
  <si>
    <t>MAUCAYLLE AYESTA, BERTHA</t>
  </si>
  <si>
    <t>PALOMINO UQUICHE, DOMINGO</t>
  </si>
  <si>
    <t>MOLINA DE CHIRCCA, GREGORIA</t>
  </si>
  <si>
    <t>MANUICO BERROCAL, AYDEE</t>
  </si>
  <si>
    <t>CCOPA TAIPE, LEONOR</t>
  </si>
  <si>
    <t>QUISPE A, ANTONIO</t>
  </si>
  <si>
    <t>YUPANQUI DE CHIRCA, CIRILA</t>
  </si>
  <si>
    <t>CCOPA HUAMANI, JUAN TEOFILO</t>
  </si>
  <si>
    <t>PALOMINO MAÑUICO, EMILIA</t>
  </si>
  <si>
    <t>ALHUAY DE CUSIO, JULIA</t>
  </si>
  <si>
    <t>ALHUAY PEREZ, ALBERTO</t>
  </si>
  <si>
    <t>RAMIEREZ OSCCORIMA, EUDOSIA</t>
  </si>
  <si>
    <t>ALHUAY CHIRCCA, ALEJANDRO</t>
  </si>
  <si>
    <t>CHIRCCRA ALHUAY, MARCELINA</t>
  </si>
  <si>
    <t>MOLINA MENDOZA, VIRGINIA</t>
  </si>
  <si>
    <t>HUARCAYA CCOPA, DEMETRIO</t>
  </si>
  <si>
    <t>MOLINA ALHUAY, GERARDINA</t>
  </si>
  <si>
    <t>RAMIREZ OSCCORIMA, MARIO</t>
  </si>
  <si>
    <t>PALOMINO RODAS, ISABEL AQUINA</t>
  </si>
  <si>
    <t>UQUICHE DE MAÑUICO, DIONISIA</t>
  </si>
  <si>
    <t>ZAMORA DEL CASANCA, RAQUEL</t>
  </si>
  <si>
    <t>SAQUI ROMERO, RAQUEL</t>
  </si>
  <si>
    <t>MEDINA MENDOZA, MARINA</t>
  </si>
  <si>
    <t>MENDOZA DE MOLINA, DIONICIA</t>
  </si>
  <si>
    <t>ROMERO UQUICHI, DAMIAN</t>
  </si>
  <si>
    <t>CASANCA UQUICHE, PAULINA</t>
  </si>
  <si>
    <t>UQUICHE MOLINA, CARMEN</t>
  </si>
  <si>
    <t>ALHUAYY DE CHIRCCA, MAURA</t>
  </si>
  <si>
    <t>YUPANQUI DE MARCATOMA, PAULINA</t>
  </si>
  <si>
    <t>CHIRCCA ALHUAY, EULOGIO</t>
  </si>
  <si>
    <t>ALHUAY ALHUAY, LORETANO</t>
  </si>
  <si>
    <t>OSCCORIMA MENDOZA, YOBANA</t>
  </si>
  <si>
    <t>ALHUAY ALBAREZ, DONATO</t>
  </si>
  <si>
    <t>RAMIREZ OSCCORIMA VDA DE ALVAREZ, FRANCISCA</t>
  </si>
  <si>
    <t>MAÑUICO RIQUI DE FERNANDEZ, ROSA ALBINA</t>
  </si>
  <si>
    <t>RODAS MAUCAYLE, MAXIMO</t>
  </si>
  <si>
    <t>YUPANQUI CCOPA, JOSE ALCIDES</t>
  </si>
  <si>
    <t>ALLCCA DECAMPOS, ALEJANDRINA</t>
  </si>
  <si>
    <t>RIQUE PALOMINO, NEMESIO</t>
  </si>
  <si>
    <t>HUAMAN HERBAS, EDUARDO</t>
  </si>
  <si>
    <t>LLACCHUAS ALHUAY, ERASMINA</t>
  </si>
  <si>
    <t>UQUICHI MOLINA, NELI</t>
  </si>
  <si>
    <t>LLACHUAS YUPANQUI, LUCIO</t>
  </si>
  <si>
    <t>RAMIREZ GUTIERREZ, HUGO</t>
  </si>
  <si>
    <t>MOLINA MENDOZA, ESTEBAN</t>
  </si>
  <si>
    <t>COTAQUISPE MENDOZA, TEODOSIA</t>
  </si>
  <si>
    <t>SOTAYA ALLCCA, VICTOR</t>
  </si>
  <si>
    <t>HUQUICHE PALOMINO, FILOMENA</t>
  </si>
  <si>
    <t>TAYPE LLCCHUARYMAY, SERGIO</t>
  </si>
  <si>
    <t>MENDOZA PARIONA, REYNALDO</t>
  </si>
  <si>
    <t>CUEVAS CCOLLCCA, CELINA</t>
  </si>
  <si>
    <t>ROJAS AGUILAR, YSMAEL</t>
  </si>
  <si>
    <t>PAUCAR QUISPE, JULIA</t>
  </si>
  <si>
    <t>ESPERME CCOLLCCA, ROMUALDA</t>
  </si>
  <si>
    <t>AGUILAR HUAMAN, SATURNINO</t>
  </si>
  <si>
    <t>HUAÑA GUILLEN, HIPOLITO</t>
  </si>
  <si>
    <t>GUTIERREZ ARCOS, MIGUEL</t>
  </si>
  <si>
    <t>TOMAILLA OVELLOS, CIRILO</t>
  </si>
  <si>
    <t>CUEVAS MAUCAYLLE, GREGORIO</t>
  </si>
  <si>
    <t>ESPERME CCOLLCCA, GUILLERMO</t>
  </si>
  <si>
    <t>ESPERME TAIPE, DARIO</t>
  </si>
  <si>
    <t>ESPERME PAUCAR, BENIGNO</t>
  </si>
  <si>
    <t>ROJAS AGUILAR, CARLOS</t>
  </si>
  <si>
    <t>LEIVA AIQUIPA, CIRILO</t>
  </si>
  <si>
    <t>PUMAPILLO HUARACA, CARLOS</t>
  </si>
  <si>
    <t>AIQUIPA AGUILAR, SANTOS</t>
  </si>
  <si>
    <t>HUASCO CUEVAS, SULPICIO</t>
  </si>
  <si>
    <t>MARTINEZ QUISPE, BENJAMIN</t>
  </si>
  <si>
    <t>CCOLLCCA ROJAS, RAMON</t>
  </si>
  <si>
    <t>ROJAS AIQUIPA, IRELIO</t>
  </si>
  <si>
    <t>HERBAS CUEVAS, MAURO</t>
  </si>
  <si>
    <t>CUEVAS DE ROJAS, FORTUNATA</t>
  </si>
  <si>
    <t>PAUCAR CCOLLCCA, NESTOR</t>
  </si>
  <si>
    <t>CUEVAS QUISPE, TORIBIO</t>
  </si>
  <si>
    <t>CHIPANA ABARCA, SANTIAGO</t>
  </si>
  <si>
    <t>ALEGRIA QUISPE, CIPRIAN</t>
  </si>
  <si>
    <t>AGUILAR AYQUIPA, HUMBERTO</t>
  </si>
  <si>
    <t>AGUILAR CUEVAS, JAVIER</t>
  </si>
  <si>
    <t>ROJAS CCOICCA, MAXIMINA</t>
  </si>
  <si>
    <t>SALAZAR ACUÑA, GILBERTO</t>
  </si>
  <si>
    <t>QUISPE UTANI, FELIX URBANO</t>
  </si>
  <si>
    <t>ARONI ESPERME, NELSON</t>
  </si>
  <si>
    <t>VALDIVIA MAUCAYLLE, CANDELARIA</t>
  </si>
  <si>
    <t>CHIRCCA CAHUANA, MAURO</t>
  </si>
  <si>
    <t>CCAHUANA DE MAUCAYLLE, CIRILA</t>
  </si>
  <si>
    <t>MEMENZA HERBAS, ALFREDO</t>
  </si>
  <si>
    <t>PUMALLANQUI DE PALOMINO, DONATILA</t>
  </si>
  <si>
    <t>CUEVAS TOMAYLLA, PIO</t>
  </si>
  <si>
    <t>UTANI DE PUMALLANQUI, FRANCISCA</t>
  </si>
  <si>
    <t>CHERCCA CCAHUANA, NICANOR</t>
  </si>
  <si>
    <t>PECEROS CCAHUANA, EBERT</t>
  </si>
  <si>
    <t>PALOMINO PUMALLANQUI, BERTHA</t>
  </si>
  <si>
    <t>ALLCCA AGUILAR, GREGORIA</t>
  </si>
  <si>
    <t>SULLCA AGUILAR, ELIZABETH</t>
  </si>
  <si>
    <t>JUAREZ ALHUAY, CRISTINA</t>
  </si>
  <si>
    <t>JUAREZ ALHUAY, FELICITAS</t>
  </si>
  <si>
    <t>PUITALLA AGUILAR, MELANIO</t>
  </si>
  <si>
    <t>ALLCCA CCACCYA, CIRILO</t>
  </si>
  <si>
    <t>VALDIVIA ALLCCA, DELIZA</t>
  </si>
  <si>
    <t>DE LACRUZ MAUCAYLLE, ADOLFO</t>
  </si>
  <si>
    <t>PUMALLANQUI ALHUAY, SENON</t>
  </si>
  <si>
    <t>CARDENAS ALHUAY, ALBERTO</t>
  </si>
  <si>
    <t>HUAMAN MEMENZA, MARY LUZ</t>
  </si>
  <si>
    <t>SOLANO DIAZ, PONCIANO</t>
  </si>
  <si>
    <t>ORTIZ TAIPE, CAYETANO</t>
  </si>
  <si>
    <t>MARTINEZ ROJAS, NERI ALEJANDRINA</t>
  </si>
  <si>
    <t>GARIBAY HUAMAN, PASCUAL</t>
  </si>
  <si>
    <t>ENCISO TAPASCO, MIGUEL</t>
  </si>
  <si>
    <t>MERINO QUISPE, MAXIMO</t>
  </si>
  <si>
    <t>POCCO QUISPE, CATALINA</t>
  </si>
  <si>
    <t>HUARACA AUCCAPUMA, EMILIO</t>
  </si>
  <si>
    <t>POCCO HUAMAN, ALFONSO</t>
  </si>
  <si>
    <t>POCCO HUARACA, FLORENCIA</t>
  </si>
  <si>
    <t>MERINO ROSALES, JACINTA</t>
  </si>
  <si>
    <t>QUISPE HUAMAN, CLEMENCIA</t>
  </si>
  <si>
    <t>HUARACA DE POCCO, ANTONIA</t>
  </si>
  <si>
    <t>ISLACHIN MERINO, CRISTINA</t>
  </si>
  <si>
    <t>QUISPE HUAMAN, SANTOSA</t>
  </si>
  <si>
    <t>PARIONA ROJAS, CARMELA</t>
  </si>
  <si>
    <t>ROJAS HUAMAN, DOLORES</t>
  </si>
  <si>
    <t>AUCCAPUMA ROJAS, FIDEL</t>
  </si>
  <si>
    <t>MERINO SOLANO, VIRGINIA</t>
  </si>
  <si>
    <t>CUARESMA LAZO, PABLO</t>
  </si>
  <si>
    <t>ROJAS DIAZ, JUAN PIO</t>
  </si>
  <si>
    <t>ROJAS DIAZ, CASIMIRA</t>
  </si>
  <si>
    <t>CUSINGA YAURIS, ALBERTO</t>
  </si>
  <si>
    <t>VILCHEZ MERINO, ANTONIO</t>
  </si>
  <si>
    <t>HUARCAYA HUARACA, VICTOR</t>
  </si>
  <si>
    <t>VILCHEZ ALLCCA, ANTONIO</t>
  </si>
  <si>
    <t>MERINO CCORAHUA, JUAN</t>
  </si>
  <si>
    <t>OROSCO CUARESMA, BERNABE</t>
  </si>
  <si>
    <t>FERNANDEZ HUAMAN, MARCELO</t>
  </si>
  <si>
    <t>ALLCCA CHICLLA, SATURNINO</t>
  </si>
  <si>
    <t>CUARESMA LAZO, FELIX</t>
  </si>
  <si>
    <t>QUISPE ASCHO, MARGOT</t>
  </si>
  <si>
    <t>QUISPE MERINO, ALEJANDRO</t>
  </si>
  <si>
    <t>OROSCO DIAZ, ARMANDO</t>
  </si>
  <si>
    <t>ALARCON LAZO, DIONICIA</t>
  </si>
  <si>
    <t>QUISPE SAYAGO, TITO</t>
  </si>
  <si>
    <t>MAITAN MERINO, VICTORIA</t>
  </si>
  <si>
    <t>ROJAS QUISPE, CONCEPCION</t>
  </si>
  <si>
    <t>QUISPE CLAUDIO, ROJAS</t>
  </si>
  <si>
    <t>VILCHEZ MERINO, AUGUSTA</t>
  </si>
  <si>
    <t>PEREZ CHIPANA, NARCISO</t>
  </si>
  <si>
    <t>QUISPE HUANCA, SABINO</t>
  </si>
  <si>
    <t>ROJAS ROMERO, FORTUNATO</t>
  </si>
  <si>
    <t>PEREZ POCCO, GABRIEL</t>
  </si>
  <si>
    <t>HUAMAN HUARACA, EDGAR</t>
  </si>
  <si>
    <t>DE MERINO ANTONIA, MARIÑO</t>
  </si>
  <si>
    <t>TOMAYLLA ALLCCA, EUSEBIO</t>
  </si>
  <si>
    <t>QUISPE CCASA, DIANA ELENA</t>
  </si>
  <si>
    <t>QUISPE PEREZ, EUGENIO</t>
  </si>
  <si>
    <t>QUISPE MINAYA, PORFIRIO JUAN DE DIOS</t>
  </si>
  <si>
    <t>QUISPE MINAYA, LUCIO</t>
  </si>
  <si>
    <t>ISLACHIN QUISPE, LEANDRO</t>
  </si>
  <si>
    <t>POCCO ROJAS, JULIO</t>
  </si>
  <si>
    <t>TOMIÑO MERINO, NAZARIO</t>
  </si>
  <si>
    <t>QUISPE YSLACHIN, JOSE</t>
  </si>
  <si>
    <t>SURI QUISPE, CRISTINA</t>
  </si>
  <si>
    <t>QUISPE ROJAS, LAZARO</t>
  </si>
  <si>
    <t>ROJAS QUISPE, BERNARDO</t>
  </si>
  <si>
    <t>QUISPE SURI, SANTIAGO</t>
  </si>
  <si>
    <t>AMAO ESLACHIN, FIDELIA</t>
  </si>
  <si>
    <t>ALLCCA ALLCCA, MARTINA</t>
  </si>
  <si>
    <t>ALLCCA QUISPE, TEODOSIO</t>
  </si>
  <si>
    <t>CCENTE ESLACHIN, CARLOS</t>
  </si>
  <si>
    <t>ALLCCA ALLCCA, GREGORIO</t>
  </si>
  <si>
    <t>SOLANO MERINO, ENCARNACION</t>
  </si>
  <si>
    <t>SOLANO MERINO, NAZARIO</t>
  </si>
  <si>
    <t>SOLANO BARBOZA, MARTIN</t>
  </si>
  <si>
    <t>RIOS HUAMAN, JAVIER</t>
  </si>
  <si>
    <t>MIRANDA QUISPE, TANIA ELENA</t>
  </si>
  <si>
    <t>CHICLLA OROSCO, SEBASTIAN</t>
  </si>
  <si>
    <t>ROJAS SOLANO, LUCIO</t>
  </si>
  <si>
    <t>POCCO FRANCO, CLAUDIO</t>
  </si>
  <si>
    <t>HUARACA ORTIZ, VICTORIA</t>
  </si>
  <si>
    <t>POCCO PICHIHUA, MARTINA</t>
  </si>
  <si>
    <t>YALLE CCASANI, MARIO</t>
  </si>
  <si>
    <t>HUASCO QUISPE, REGINA</t>
  </si>
  <si>
    <t>ROSALES HUARACA, FRANCISCO</t>
  </si>
  <si>
    <t>QUISPE HUARACA, ROSA</t>
  </si>
  <si>
    <t>HUASCO HUARACA, SANTOSA</t>
  </si>
  <si>
    <t>QUISPE HUARACA, VICENTA</t>
  </si>
  <si>
    <t>URRUTIA QUISPE, ROSENDO</t>
  </si>
  <si>
    <t>PARIONA QUISPE, CESAR WALTER</t>
  </si>
  <si>
    <t>PARIONA MOLINA, MARTIN</t>
  </si>
  <si>
    <t>PARIONA AUCCAPUMA, ESTEBAN</t>
  </si>
  <si>
    <t>SOLANO ROSALES, ROQUE</t>
  </si>
  <si>
    <t>AUCCAPUMA HUARACA, EPIFANIO</t>
  </si>
  <si>
    <t>ORTIZ HUARACA, GABINO</t>
  </si>
  <si>
    <t>ROJAS ALLCCA, MARIANO</t>
  </si>
  <si>
    <t>PARIONA HUARACA, MAXIMO</t>
  </si>
  <si>
    <t>HUARACA PARIONA, QUINTIN</t>
  </si>
  <si>
    <t>HUARACA POCCO, ARMANDINA</t>
  </si>
  <si>
    <t>PARIONA ROJAS, ALFONSO</t>
  </si>
  <si>
    <t>POCCO OROSCO, MARTIN</t>
  </si>
  <si>
    <t>AUCCAPUMA HUARACA, MARIA JOSEFA</t>
  </si>
  <si>
    <t>ÑAHUE CORAHUA, TEODOCIO</t>
  </si>
  <si>
    <t>HUARACA Q., TEODOCIO</t>
  </si>
  <si>
    <t>HUARACA QUISPE, DOMINGO</t>
  </si>
  <si>
    <t>HUARCAYA AUCCAPUMA, CIRILO</t>
  </si>
  <si>
    <t>ORTIZ HUARACA, SEBASTIAN</t>
  </si>
  <si>
    <t>AUCCAPUMA AVENDAÑO, BENITO</t>
  </si>
  <si>
    <t>HUASCO ABARCA, ISABEL</t>
  </si>
  <si>
    <t>ROMERO URRUTIA, EDGAR</t>
  </si>
  <si>
    <t>MERINO TAIPE, FERNANDINA</t>
  </si>
  <si>
    <t>URRUTIA HUARACA, PAULINA</t>
  </si>
  <si>
    <t>SOTAYA QUISPE, AGUSTIN</t>
  </si>
  <si>
    <t>PUMAPILLO MESCUA, MARIA</t>
  </si>
  <si>
    <t>MERINO TAYPE, RAUL</t>
  </si>
  <si>
    <t>QUISPE TELLO, GILBERTO</t>
  </si>
  <si>
    <t>PARIONA ABARCA, YOLANDA</t>
  </si>
  <si>
    <t>MERINIO QUISPE, CELSO</t>
  </si>
  <si>
    <t>CCASA QUISPE, EMILIANO</t>
  </si>
  <si>
    <t>CCASA QUISPE, ROBERTO</t>
  </si>
  <si>
    <t>SOTAYA HUAMAN, CLAUDIO</t>
  </si>
  <si>
    <t>TAIPE CANA, VIDALINA</t>
  </si>
  <si>
    <t>HUAMAN MERINO, MOISES</t>
  </si>
  <si>
    <t>AIQUIPA ROJAS, DAVID</t>
  </si>
  <si>
    <t>HUARACA ORTIZ, DELFINA</t>
  </si>
  <si>
    <t>BARBOZA ROJAS, JUAN</t>
  </si>
  <si>
    <t>MARTINES QUISPE, CARMELA</t>
  </si>
  <si>
    <t>HUARACA ROJAS, ROSALIO</t>
  </si>
  <si>
    <t>AIQUIPA ROJAS, FAUSTO</t>
  </si>
  <si>
    <t>ROJAS MALLMA, VILMA</t>
  </si>
  <si>
    <t>ROJAS HUARACA, ELSA</t>
  </si>
  <si>
    <t>ROJAS TAIPE, ELEOCARDIO</t>
  </si>
  <si>
    <t>AYQUIPA BARBOZA, TEOFILA</t>
  </si>
  <si>
    <t>ROJAS PAUCCAR, JUAN</t>
  </si>
  <si>
    <t>QUISPE AYQUIPA, CIRILO</t>
  </si>
  <si>
    <t>QUISPE ROJAS, ELISEO</t>
  </si>
  <si>
    <t>QUISPE ROJAS, EDILBERTO</t>
  </si>
  <si>
    <t>ROJAS PAUCAR, JUANA</t>
  </si>
  <si>
    <t>HUASCO OROSCO, FLORISA</t>
  </si>
  <si>
    <t>HUASCO MALLMA, SANTOS</t>
  </si>
  <si>
    <t>MALLMA OROSCO, DELIA</t>
  </si>
  <si>
    <t>BARBOZA RUIZ, AMBROCIA</t>
  </si>
  <si>
    <t>ROJAS AGUILAR, MARCELINA</t>
  </si>
  <si>
    <t>PEREZ CCOPA, PIO</t>
  </si>
  <si>
    <t>RAMOS HERBAS, CLAUDIO</t>
  </si>
  <si>
    <t>HUAMAN AIQUIPA, FREDY</t>
  </si>
  <si>
    <t>CCOPA ASTUCHAO, ROLFI</t>
  </si>
  <si>
    <t>APARCO ALLCCA, ALFREDO</t>
  </si>
  <si>
    <t>HUARACA OROSCO, LAZARO</t>
  </si>
  <si>
    <t>CASTRO UQUICHE, LUCHO FREDY</t>
  </si>
  <si>
    <t>CASTRO HUARACA, JULIO</t>
  </si>
  <si>
    <t>CCOPA HUARACA, JAIME</t>
  </si>
  <si>
    <t>TAIPE CASTRO, NICOMEDES</t>
  </si>
  <si>
    <t>HUAMAN ROMERO, VICTOR MIGUEL</t>
  </si>
  <si>
    <t>HUAMAN UTANI, JOSEFA</t>
  </si>
  <si>
    <t>APARCO ALLCCA, OCTAVILA</t>
  </si>
  <si>
    <t>ASTUCHAO HUAMANI, ELIZABETH</t>
  </si>
  <si>
    <t>PEREZ QUISPE, MARIA</t>
  </si>
  <si>
    <t>ASTOCHAO ROMERO, VICTOR</t>
  </si>
  <si>
    <t>QUISPE HUARACA, DONATO</t>
  </si>
  <si>
    <t>HUAMAN BAUTISTA, PAULINO</t>
  </si>
  <si>
    <t>HUARACA ÑAHUI, PAULINO</t>
  </si>
  <si>
    <t>UTANI TAIPE, LUCIO</t>
  </si>
  <si>
    <t>CCOPA UTANI, ANTONIA</t>
  </si>
  <si>
    <t>ROMERO ROJAS, BERTHA</t>
  </si>
  <si>
    <t>ASTUCHAO HUARCAYA, ROMULO</t>
  </si>
  <si>
    <t>HUAMAN CASTRO, GERARDO</t>
  </si>
  <si>
    <t>CASTRO ALLCA, ROMULO</t>
  </si>
  <si>
    <t>HUARCAYA HUARACA, DAVID</t>
  </si>
  <si>
    <t>HUARACA RAMOS, EDWIN</t>
  </si>
  <si>
    <t>HUAMAN PEREZ, LUCIA</t>
  </si>
  <si>
    <t>HUARACA CCOPA, LUIS</t>
  </si>
  <si>
    <t>HUARACA CCOPA, EDGAR</t>
  </si>
  <si>
    <t>ASTOCHAU CASTRO, BELIZARIO</t>
  </si>
  <si>
    <t>HUTANI HUARACA, SAMUEL</t>
  </si>
  <si>
    <t>HUARACA ÑAHUI, GUILLERMO</t>
  </si>
  <si>
    <t>MERINO HUARACA, MARGARITA</t>
  </si>
  <si>
    <t>CHICO CHUCTAYA, DINA</t>
  </si>
  <si>
    <t>APARCO HUARACA, GREGORIO</t>
  </si>
  <si>
    <t>ROMERO DE MERINO, CLEMENTINA</t>
  </si>
  <si>
    <t>MERINO AVENDAÑO, MARLENY</t>
  </si>
  <si>
    <t>YLLANIS APARCO, DORIS GREGORIA</t>
  </si>
  <si>
    <t>ROJAS MALLMA, PERCY</t>
  </si>
  <si>
    <t>APARCO HUARACA, TEODOSIO</t>
  </si>
  <si>
    <t>APARCO CASTRO, ARMANDINA</t>
  </si>
  <si>
    <t>ROJAS MERINO, JESUSA</t>
  </si>
  <si>
    <t>ABARCA HUASCO, EUGENIO</t>
  </si>
  <si>
    <t>ABARCA HUASCO, DELBERTINA</t>
  </si>
  <si>
    <t>MERINO ROJAS, NERLINDA</t>
  </si>
  <si>
    <t>ABARCA MERINO, DIONISIO</t>
  </si>
  <si>
    <t>HUARACA MERINO, BASILIO</t>
  </si>
  <si>
    <t>QUISPE SULLCAPUMA, SEBASTIAN</t>
  </si>
  <si>
    <t>ABARCA BASCO, ORLANDO</t>
  </si>
  <si>
    <t>ROJAS HUAMAN, ANDREA</t>
  </si>
  <si>
    <t>ROJAS MERINO, JULIAN</t>
  </si>
  <si>
    <t>ROJAS MERINO, JUSTINA</t>
  </si>
  <si>
    <t>SOLANO AUCCAPUMA, FLORENTINA</t>
  </si>
  <si>
    <t>MERINO POCCO, AURELIO JULIO</t>
  </si>
  <si>
    <t>QUISPE SOLANO, TEOFILA</t>
  </si>
  <si>
    <t>MERINO POCCO, CASIMIRA</t>
  </si>
  <si>
    <t>QUISPE MERINO, ANTONIO</t>
  </si>
  <si>
    <t>QUISPE PEREZ, ALEJANDRO</t>
  </si>
  <si>
    <t>QUISPE MERINO, ESTEBAN</t>
  </si>
  <si>
    <t>ROJAS HUAMAN, JUAN CARLOS</t>
  </si>
  <si>
    <t>CCOPA PEREZ, FELOMINO</t>
  </si>
  <si>
    <t>MERINO SOLANO, LUCIA</t>
  </si>
  <si>
    <t>MERINO SOLANO, AVELINO</t>
  </si>
  <si>
    <t>ROJAS SURI, FRANCISCO</t>
  </si>
  <si>
    <t>ROJAS SURI, MAURO</t>
  </si>
  <si>
    <t>HUARACA OROSCO, LUIS</t>
  </si>
  <si>
    <t>MERINO PEREZ, JESUS</t>
  </si>
  <si>
    <t>POCCO MERINO, BELIZARIO</t>
  </si>
  <si>
    <t>PUMAPILLO MERINO, SANTOS</t>
  </si>
  <si>
    <t>MITMA PEDRAZA, ADOLIA</t>
  </si>
  <si>
    <t>AUQUERIMA MERINO, BENITO</t>
  </si>
  <si>
    <t>MERINO AREVALO, FELIX</t>
  </si>
  <si>
    <t>MERINO AREVALO, MARTIN</t>
  </si>
  <si>
    <t>AREVALO FLORES, LEOCADIA</t>
  </si>
  <si>
    <t>ABARCA ROJAS, VIVIANA</t>
  </si>
  <si>
    <t>ROSALES DIAZ, JULIANA</t>
  </si>
  <si>
    <t>HUARACA ROSALES, AGUSTIN</t>
  </si>
  <si>
    <t>HUARACA ROSALES, CIRILA</t>
  </si>
  <si>
    <t>HUARACA OROSCO, AURELIO</t>
  </si>
  <si>
    <t>HUARACA SURI, MARCELINA</t>
  </si>
  <si>
    <t>UTANI BARBOZA, PAULINO</t>
  </si>
  <si>
    <t>HUARACA RUIZ, ABELARDO</t>
  </si>
  <si>
    <t>HUARACA RUIZ, FELICITAS</t>
  </si>
  <si>
    <t>HUARACA ROJAS, MIGUEL</t>
  </si>
  <si>
    <t>OROSCO CASTRO, MANUELA</t>
  </si>
  <si>
    <t>RUIZ QUISPE, AVELINO</t>
  </si>
  <si>
    <t>RUIZ QUISPE, LUCIO</t>
  </si>
  <si>
    <t>BARBOZA PARIONA, DIONISIO</t>
  </si>
  <si>
    <t>CUSINGA BARBOZA, CARLOS</t>
  </si>
  <si>
    <t>CUARESMA MERINO, MAURO</t>
  </si>
  <si>
    <t>QUISPE VEGA, ROBERTO</t>
  </si>
  <si>
    <t>CUARESMA MERINO, MARTIN</t>
  </si>
  <si>
    <t>MERINO PERES, RUFINA</t>
  </si>
  <si>
    <t>OROSCO CUARESMA, SEBASTIAN</t>
  </si>
  <si>
    <t>AVENDAÑO PARIONA, CLOTILDE</t>
  </si>
  <si>
    <t>CENTENO AMAO, VICTOR</t>
  </si>
  <si>
    <t>CUARESMA MERINO, SANTOSA</t>
  </si>
  <si>
    <t>BARBOZA HUAMAN, SERAFINA</t>
  </si>
  <si>
    <t>DIAZ VEGA, REYNALDO</t>
  </si>
  <si>
    <t>PUMAPILLO MERINO, ROSALIO</t>
  </si>
  <si>
    <t>DIAZ TAIPE, ANTONIO</t>
  </si>
  <si>
    <t>SUPANTA HUAMAN, EUGENIO</t>
  </si>
  <si>
    <t>DIAZ VEGA, ROSBITA</t>
  </si>
  <si>
    <t>MERINO APARCO, MARTINA</t>
  </si>
  <si>
    <t>HUARACA HUAMAN, BALTAZAR</t>
  </si>
  <si>
    <t>CCASA VEGA, WILFREDO</t>
  </si>
  <si>
    <t>CUARESMA BARBOSA, NICOLAS</t>
  </si>
  <si>
    <t>HUARACA QUISPE, TEOFILO</t>
  </si>
  <si>
    <t>VEGA QUISPE, JESUSA</t>
  </si>
  <si>
    <t>HUARCAYA PUMAPILLO, ALEJANDRA</t>
  </si>
  <si>
    <t>SALAZAR BARBOZA, ANDREA</t>
  </si>
  <si>
    <t>NAVARRO ALHUAY, ALIPIO</t>
  </si>
  <si>
    <t>TAYPE FRANCO DE HUARACA, ISABEL</t>
  </si>
  <si>
    <t>ABARCA VEGA, GILBERTO</t>
  </si>
  <si>
    <t>ABARCA QUISPE, ENRIQUE FELIX</t>
  </si>
  <si>
    <t>ANDRADE FLOREZ, BRAULIO</t>
  </si>
  <si>
    <t>ABARCA VEGA, MARCELINA</t>
  </si>
  <si>
    <t>VALDEZ PEDRAZA, CRISANTO</t>
  </si>
  <si>
    <t>ABARCA VEGA, FLORENTINO</t>
  </si>
  <si>
    <t>UTANI ROSALES, EUSEBIO</t>
  </si>
  <si>
    <t>VEGA SURI, MAXIMILIANA</t>
  </si>
  <si>
    <t>VEGA LOA, EDGAR</t>
  </si>
  <si>
    <t>CONDORI CUARESMA, JUAN BAUTISTA</t>
  </si>
  <si>
    <t>SUPANTA MERINO, JUANA</t>
  </si>
  <si>
    <t>CCASA MERINO, LAZARO</t>
  </si>
  <si>
    <t>MERINO TORRES, ASCENCIA</t>
  </si>
  <si>
    <t>HUAMAN HUARACA, REYNALDO</t>
  </si>
  <si>
    <t>TAIPE VEGA, MARIA</t>
  </si>
  <si>
    <t>DIAZ TAYPE, EDGAR</t>
  </si>
  <si>
    <t>CCASA MERINO, BERNABE</t>
  </si>
  <si>
    <t>QUISPE VEGA, DELFIN</t>
  </si>
  <si>
    <t>QUISPE VEGA, ANTONIO</t>
  </si>
  <si>
    <t>ROSALES QUISPE, DIOGENES</t>
  </si>
  <si>
    <t>QUISPE ABARCA, LEONCIO</t>
  </si>
  <si>
    <t>PUMAPILLO HUARACA, ELSA</t>
  </si>
  <si>
    <t>PUMAPILLO HUARACA, EMILIANO</t>
  </si>
  <si>
    <t>APARCO PEREZ, ANDRES</t>
  </si>
  <si>
    <t>TAME ESCALANTE, MARCELINO EUSEBIO</t>
  </si>
  <si>
    <t>SUPANTA PUMAPILLO, EUSEBIA</t>
  </si>
  <si>
    <t>ROJAS HUARACA, MARIO</t>
  </si>
  <si>
    <t>HUARCAYA CHOCHOCA, CIRILO</t>
  </si>
  <si>
    <t>QUISPE MERINO, GERVACIO</t>
  </si>
  <si>
    <t>PUMAPILLO ROJAS, ASUNTA</t>
  </si>
  <si>
    <t>POMAPILLO ROJAS, HIPOLITO</t>
  </si>
  <si>
    <t>HUARCAYA PUMAPILLO, VICTORIA</t>
  </si>
  <si>
    <t>RIVAS CCANQUI, JOSE ALBERTO</t>
  </si>
  <si>
    <t>HUAYTA CCOICCA, EDISON</t>
  </si>
  <si>
    <t>ZUÑIGA FLORES, EDGAR</t>
  </si>
  <si>
    <t>ORTIZ VARGAS, SERAFINA</t>
  </si>
  <si>
    <t>GONZALES SANCHEZ, LIDIA</t>
  </si>
  <si>
    <t>ALTAMIRANO OSCCO, JESUSA</t>
  </si>
  <si>
    <t>CCORISAPRA ALFARO, WILMER</t>
  </si>
  <si>
    <t>ORTIZ VARGAS, AUREA</t>
  </si>
  <si>
    <t>ZUÑIGA FLORES, EVER ALFONSO</t>
  </si>
  <si>
    <t>MARTINEZ RIVAS, NATIVIDAD</t>
  </si>
  <si>
    <t>FLORES ZUÑIGA, LUCIANO</t>
  </si>
  <si>
    <t>ZAMORA CARRILLO, CARLOS</t>
  </si>
  <si>
    <t>FLORES QUINTANA, EMILIA</t>
  </si>
  <si>
    <t>FLORES DE SILVERA, SUSANA</t>
  </si>
  <si>
    <t>OLIVERA DIA, BERNARDINA</t>
  </si>
  <si>
    <t>VASQUEZ ZUÑIGA, YOVANA</t>
  </si>
  <si>
    <t>CCORISAPRA FLORES, EMILIANO</t>
  </si>
  <si>
    <t>FERNANDEZ HUACHO, ANGEL</t>
  </si>
  <si>
    <t>DIAZ MUÑOZ, BERNARDINA</t>
  </si>
  <si>
    <t>OLIVERA DIAS, JULIA</t>
  </si>
  <si>
    <t>DIAZ SANCHEZ, CRISTINA</t>
  </si>
  <si>
    <t>SOTO ALLCCA, MARINA</t>
  </si>
  <si>
    <t>LAZO ASCUE, JULIO</t>
  </si>
  <si>
    <t>REYNAGA ASCUE, PEDRO ABILIO</t>
  </si>
  <si>
    <t>SAMANEZ OROSCO, DANIEL RAFAEL</t>
  </si>
  <si>
    <t>LEGUIA PICHIHUA, ELIZABETH</t>
  </si>
  <si>
    <t>MUÑOZ PICHIHUA, NEVISA</t>
  </si>
  <si>
    <t>MUÑOZ OROSCO, MARIA MAGDALENA</t>
  </si>
  <si>
    <t>ATAO RIVAS, EMILIANO</t>
  </si>
  <si>
    <t>REYNAGA LARA, JULIA</t>
  </si>
  <si>
    <t>PALOMINO GALINDO, RENE SILVIA</t>
  </si>
  <si>
    <t>VASQUES TORRES, GENOVEVA</t>
  </si>
  <si>
    <t>NOLASCO ENCISO, FIFELIA</t>
  </si>
  <si>
    <t>GALINDO VASQUEZ, GENOVEVA</t>
  </si>
  <si>
    <t>ALARCON SERRANO, DAMIANA</t>
  </si>
  <si>
    <t>CONDORI ACHAHUI, JOSEFINA</t>
  </si>
  <si>
    <t>RIVERA PALOMINO, MELANIA</t>
  </si>
  <si>
    <t>RODRIGUEZ GONZALES, CIRILO</t>
  </si>
  <si>
    <t>HUAMAN ARANDIA, MAURA</t>
  </si>
  <si>
    <t>LOVATON ALVAREZ, JOSE LUIS</t>
  </si>
  <si>
    <t>QUISPE HUARCAYA, SILVIA</t>
  </si>
  <si>
    <t>MENDOZA TORRES, MARCO WILLIAMS</t>
  </si>
  <si>
    <t>LLASAQUE ASCUE, JOVITA</t>
  </si>
  <si>
    <t>CARRION HUAMAN, CEFERINA</t>
  </si>
  <si>
    <t>PEREZ PICHIHUA, VICTOR</t>
  </si>
  <si>
    <t>MENDOZA MEDINA, JAVIER</t>
  </si>
  <si>
    <t>ALLCCA CONTRERAS, JOSEFINA</t>
  </si>
  <si>
    <t>CCOICCA VASQUEZ, JUAN ALEJANDRO</t>
  </si>
  <si>
    <t>PEREZ SUPANTA, ELIAS</t>
  </si>
  <si>
    <t>ALLCCA CONTRERAS, LUCIANO</t>
  </si>
  <si>
    <t>SALAZAR RIVAS, BERTHA</t>
  </si>
  <si>
    <t>QUISPE MAUCAYLLE, MARIZA</t>
  </si>
  <si>
    <t>PEDRAZA MENDOZA, VILMA</t>
  </si>
  <si>
    <t>HERHUAY GARFIAS, VICTOR</t>
  </si>
  <si>
    <t>BENITES YAURIS, VILMA</t>
  </si>
  <si>
    <t>RODRIGUEZ DE PEREZ, PRUDENCIA</t>
  </si>
  <si>
    <t>LUDEÑA HUAMANI, TEOFILO</t>
  </si>
  <si>
    <t>MAÑUICO GUTIERREZ, VICTORIA</t>
  </si>
  <si>
    <t>TAPASCO VELASQUE, NORMA</t>
  </si>
  <si>
    <t>GALINDO GARFIAS, GLICERIO</t>
  </si>
  <si>
    <t>PEREZ CENTENO, SIMEON</t>
  </si>
  <si>
    <t>CARRION ESTAÑEZ, LAZARO</t>
  </si>
  <si>
    <t>QUISPE PEREZ, BENIGNO</t>
  </si>
  <si>
    <t>YAURIS DE BENITES, FELICITAS</t>
  </si>
  <si>
    <t>AYALA PAUCCAR, MAXIMILIANA</t>
  </si>
  <si>
    <t>BENITES MORENO, GERARDO</t>
  </si>
  <si>
    <t>HUAMAN DE ALDAZABAL, FLORENTINA</t>
  </si>
  <si>
    <t>HUAMAN QUISPE, SIMEON</t>
  </si>
  <si>
    <t>GARFIAS ALLCCA, REBECA</t>
  </si>
  <si>
    <t>PAUCAR OSCCO, LORENSANA</t>
  </si>
  <si>
    <t>BERROCAL POLANCO, TEOFILO</t>
  </si>
  <si>
    <t>JUAREZ PICHIHUA, LEOPOLDO</t>
  </si>
  <si>
    <t>GARFIAS ALLCCA, ELIAS</t>
  </si>
  <si>
    <t>MEDINA PICHIUA, CRISTINA</t>
  </si>
  <si>
    <t>GARFIAS CCAHUANA, VICTOR</t>
  </si>
  <si>
    <t>VELASQUE SAVALA, SOCIMO</t>
  </si>
  <si>
    <t>GARFIAS CCAHUANA, JULIA</t>
  </si>
  <si>
    <t>VILCHEZ DE FRANCO, JUSTINA</t>
  </si>
  <si>
    <t>PAUCAR VASQUEZ, EDUARDO</t>
  </si>
  <si>
    <t>QUISPE VASQUEZ, FELICITAS</t>
  </si>
  <si>
    <t>HUAMAN QUISPE, FIDELO</t>
  </si>
  <si>
    <t>OSCCO QUISPE, SEBASTIAN</t>
  </si>
  <si>
    <t>HUAMAN GUILLEN, MATIASA</t>
  </si>
  <si>
    <t>AMABLE HUARCAYA, FILOMENA</t>
  </si>
  <si>
    <t>GONZALES MEDINA, ELVIRA ROSA</t>
  </si>
  <si>
    <t>TOMAYLLA MAUCAYLLE, CATALINA</t>
  </si>
  <si>
    <t>SILVERA MEZA, ENRIQUE</t>
  </si>
  <si>
    <t>CCARHUAS PEREZ, CEFERINA</t>
  </si>
  <si>
    <t>HUAMAN PACHECO, ZENAIDA</t>
  </si>
  <si>
    <t>MAUCAYLLE QUISPE, OLGA</t>
  </si>
  <si>
    <t>GONZALES QUISPE, VICTORIA</t>
  </si>
  <si>
    <t>VARGAS SALAZAR, JULIA</t>
  </si>
  <si>
    <t>PEREZ PICHIHUA, REYNA</t>
  </si>
  <si>
    <t>MAUCAYLLE QUISPE, JULIANA</t>
  </si>
  <si>
    <t>AGUILAR QUISPE, TEODORA</t>
  </si>
  <si>
    <t>QUISPE HUACHUHUILLCA, ALBERTO</t>
  </si>
  <si>
    <t>QUISPE HUAMAN, VICTORIA</t>
  </si>
  <si>
    <t>CCOICCA HUAMAN, GLORIA</t>
  </si>
  <si>
    <t>PICHIHUA ABOLLANEDA, PAULINO</t>
  </si>
  <si>
    <t>MAUCAYLLE QUISPE, EMILIO</t>
  </si>
  <si>
    <t>QUISPE OSCCO, QUMERCINDA</t>
  </si>
  <si>
    <t>VARGAS GILLEN, ELIAS</t>
  </si>
  <si>
    <t>QUISPE ANCCO, JULIA</t>
  </si>
  <si>
    <t>QUISPE CCARHUAS, DOLORES</t>
  </si>
  <si>
    <t>QUISPE PEREZ, SANTOS</t>
  </si>
  <si>
    <t>QUISPE SUPANTA, MARCELO</t>
  </si>
  <si>
    <t>QUISPE SOPANTA, GENARA</t>
  </si>
  <si>
    <t>QUISPE HUAMAN, GRICELDA</t>
  </si>
  <si>
    <t>VARGAS YAURIS, SANTOS</t>
  </si>
  <si>
    <t>GUZMAN SANCHEZ, FELICIANO</t>
  </si>
  <si>
    <t>CANCHALLA AMAO, ORLANDO</t>
  </si>
  <si>
    <t>OSCCO MAUCAYLLE, MARITZA</t>
  </si>
  <si>
    <t>PEREZ CCORISONCCO, CELESTINO</t>
  </si>
  <si>
    <t>VARGAS YAURIS, EUSEBIO</t>
  </si>
  <si>
    <t>ALVAREZ CONTRERAS, JULIANA</t>
  </si>
  <si>
    <t>PAUCCAR TAIPE, AVELINO</t>
  </si>
  <si>
    <t>CCECCAÑA LIMA, VICTOR</t>
  </si>
  <si>
    <t>CCECCAÑO LIMA, VIRGILIO</t>
  </si>
  <si>
    <t>YAURIS ANCCO, VICTORIA</t>
  </si>
  <si>
    <t>CONTRERAS MAÑUICO, NICOLASA</t>
  </si>
  <si>
    <t>PAUCCAR SOPANTA, SANTA</t>
  </si>
  <si>
    <t>TOMAYLLA CONTRERAS, LUCIA</t>
  </si>
  <si>
    <t>CONTRERAS MAÑUICO, RICARDINA</t>
  </si>
  <si>
    <t>PAUCAR TAIPE, SANTOS</t>
  </si>
  <si>
    <t>HUAMAN QUISPE, LAZARO</t>
  </si>
  <si>
    <t>CCANA TACURI, MARTHA</t>
  </si>
  <si>
    <t>PEREZ PAUCCAR, VICTORIA</t>
  </si>
  <si>
    <t>CONTRERAS ATAO, VICTORIA</t>
  </si>
  <si>
    <t>PAUCCAR PEREZ, CRISTINA</t>
  </si>
  <si>
    <t>SOPANTA TOMAYLLA, LEONARDO</t>
  </si>
  <si>
    <t>PAUCCAR ALVAREZ, ELISA</t>
  </si>
  <si>
    <t>ATAO CCORIMANYA, CRISTINA</t>
  </si>
  <si>
    <t>MAUCAILLE RODRIGUEZ, IRENE</t>
  </si>
  <si>
    <t>GARFIAS CARDENAS, ALEJANDRO</t>
  </si>
  <si>
    <t>YAURIS ANCCO, TORIBIA</t>
  </si>
  <si>
    <t>ALVARADO CHIQUILLAN, FELICIANO</t>
  </si>
  <si>
    <t>RODRIGUEZ HERHUAY, VICTORIA</t>
  </si>
  <si>
    <t>MAUCAYLLE PICHIHUA, FLORIZA</t>
  </si>
  <si>
    <t>LIMA HUAMAN, LUCIO</t>
  </si>
  <si>
    <t>SOPANTA PAUCCAR, JULIO</t>
  </si>
  <si>
    <t>BUITRON HUAMAN, JUANA</t>
  </si>
  <si>
    <t>MAUCAYLLE PICHIHUA, ALBINA</t>
  </si>
  <si>
    <t>QUINTANA CCORISAPRA, TEODOCIA LOURDES</t>
  </si>
  <si>
    <t>ANDRADE QUISPE, TEODORA</t>
  </si>
  <si>
    <t>LLANOS SANCHEZ DE CARDENAS, OLIMPIA VICTORIA</t>
  </si>
  <si>
    <t>MAÑUICO MAUCAILLE, EULALIA</t>
  </si>
  <si>
    <t>CARRION GUZMAN, CARLOS</t>
  </si>
  <si>
    <t>CARRION GUZMAN, SONIA</t>
  </si>
  <si>
    <t>QUISPE VARGAS, DINA</t>
  </si>
  <si>
    <t>YAURES ESLACHIN, FELIPE</t>
  </si>
  <si>
    <t>QUISPE CCORIMANYA, RAUL</t>
  </si>
  <si>
    <t>CCORIMANYA SANCHEZ, ELENA</t>
  </si>
  <si>
    <t>SANCHEZ DE YAURIS, FORTUNATA</t>
  </si>
  <si>
    <t>QUISPE CCORIMANYA, SONIA</t>
  </si>
  <si>
    <t>CCECCAÑO LIMA, VICTORIA</t>
  </si>
  <si>
    <t>ALLCCA MAÑUICO, OSCAR</t>
  </si>
  <si>
    <t>ROJAS TAIPE, MARIA ANA</t>
  </si>
  <si>
    <t>ANCCO HUAMAN, MANUEL</t>
  </si>
  <si>
    <t>ALVAREZ CCORIMANYA, IRMA</t>
  </si>
  <si>
    <t>PAUCCAR CHICLLA, FELICITAS</t>
  </si>
  <si>
    <t>TOMAYLLA CCORIMANYA, IRMA</t>
  </si>
  <si>
    <t>CCORISONCCO CONTRERAS, RUSVITA</t>
  </si>
  <si>
    <t>MAUCAILLE ALLCCA, JOSE</t>
  </si>
  <si>
    <t>MAUCAILLE QUISPE, MARCELINO</t>
  </si>
  <si>
    <t>MAÑUYCO ALLCCA, LUCIANO</t>
  </si>
  <si>
    <t>CCORIMANYA CONTRERAS, SERAPIO</t>
  </si>
  <si>
    <t>QUISPE ALVAREZ, ALEJANDRO</t>
  </si>
  <si>
    <t>QUISPE PEREZ, EMILIO</t>
  </si>
  <si>
    <t>MAUCAYLLE DE QUISPE, PASCUALA</t>
  </si>
  <si>
    <t>QUISPE ROJAS, FLORVE</t>
  </si>
  <si>
    <t>PALOMINO PEREZ, FERMIN</t>
  </si>
  <si>
    <t>CONTRERAS OSCCO, JUANA</t>
  </si>
  <si>
    <t>HUAMAN ROJAS, HILARIO</t>
  </si>
  <si>
    <t>MAUCAYLLE CCORISONCCO, EPIFANIO</t>
  </si>
  <si>
    <t>MAUCAYLLE ALLCCA, DOMINGA</t>
  </si>
  <si>
    <t>HUAMAN CONTRERAS, NELLY</t>
  </si>
  <si>
    <t>VARGAS QUISPE, VIRGINIA</t>
  </si>
  <si>
    <t>PICHIHUA YAURIS, MERCEDES</t>
  </si>
  <si>
    <t>ATAO GUTIERREZ, ROWAN</t>
  </si>
  <si>
    <t>CHILINGANO OLARTE, AGUSTIN</t>
  </si>
  <si>
    <t>BULEJE CH, EMILIANO</t>
  </si>
  <si>
    <t>QUINTANA HUAMAN, GUILLERMO</t>
  </si>
  <si>
    <t>QUINTANA QUISPE, KATHY YOLANDA</t>
  </si>
  <si>
    <t>QUINTANA OSCOO, FORTUNATA</t>
  </si>
  <si>
    <t>ALTAMIRANO OSCCO, DIONICIO</t>
  </si>
  <si>
    <t>ALTAMIRANO PAHUARA, ROSA</t>
  </si>
  <si>
    <t>QUINTANA CCORAHUA, JUAN FRANCISCO</t>
  </si>
  <si>
    <t>QUINTANA OSCCO, PAULA</t>
  </si>
  <si>
    <t>AGUIRRE CALLE, ANDRES</t>
  </si>
  <si>
    <t>PARIONA PEREZ, MANUEL JESUS</t>
  </si>
  <si>
    <t>PONCECA ROJAS, MARIA</t>
  </si>
  <si>
    <t>HUAMAN SOPANTA, SANTOS</t>
  </si>
  <si>
    <t>HUAMAN SOPANTA, AMBROSIO</t>
  </si>
  <si>
    <t>MEDINA QUISPE, PAULINO</t>
  </si>
  <si>
    <t>PICHIHUA MARCATOMA, BENITO PARDO</t>
  </si>
  <si>
    <t>PICHIHUA PALOMINO, ERNESTINA</t>
  </si>
  <si>
    <t>PICHIHUA OSCCO, EUSEBIO</t>
  </si>
  <si>
    <t>HUHACHUILLCA QUISPE, OLGA</t>
  </si>
  <si>
    <t>HUACHUHUILLCA QUISPE, SANTOS</t>
  </si>
  <si>
    <t>QUISPE MALLQUI, ALBINO</t>
  </si>
  <si>
    <t>TORRES HUARCAYA, EDWIN</t>
  </si>
  <si>
    <t>QUISPE AYALA, EDGAR</t>
  </si>
  <si>
    <t>TORRES YAURIS, ESTEBAN</t>
  </si>
  <si>
    <t>HUAMAN CARRION, PABLO</t>
  </si>
  <si>
    <t>MAUCAYLLE AMABLE, NICOLAS</t>
  </si>
  <si>
    <t>ATAO QUISPE, MARTINA</t>
  </si>
  <si>
    <t>VICENTE AIQUIPA, MAURO</t>
  </si>
  <si>
    <t>MALLQUI TELLO, SATURNO</t>
  </si>
  <si>
    <t>VARGAS YAURIS, SAMUEL</t>
  </si>
  <si>
    <t>VARGAS QUISPE, SAMUEL</t>
  </si>
  <si>
    <t>MAUCAYLLE BRAVO, SANTOS</t>
  </si>
  <si>
    <t>HUAMAN HUARCAYA DE QUISPE, ISABEL</t>
  </si>
  <si>
    <t>MAUCAYLLE HUAMAN, WILSON</t>
  </si>
  <si>
    <t>YAURES BRAVO, VICTOR</t>
  </si>
  <si>
    <t>MAUCAYLLE AMABLE, VALENTIN</t>
  </si>
  <si>
    <t>PEREZ HUAMAN, SANTUSA</t>
  </si>
  <si>
    <t>TORRES YAURIS, VIRGINIA</t>
  </si>
  <si>
    <t>QUISPE YAURIS, JESUS</t>
  </si>
  <si>
    <t>TORRES YAURIS, ALEJANDRO</t>
  </si>
  <si>
    <t>YAURIS HUAMAN, FLORENTINA</t>
  </si>
  <si>
    <t>TORBISCO HUAMAN, JUSTINA</t>
  </si>
  <si>
    <t>GASPAR OSCCO, HERMELINDA</t>
  </si>
  <si>
    <t>ALCARRAZ ALTAMIRANO, LAURA</t>
  </si>
  <si>
    <t>ALCARRAZ CARBAJAL, MERCEDES</t>
  </si>
  <si>
    <t>ALCARRAZ GALINDO, MAXIMO</t>
  </si>
  <si>
    <t>PACUCHA</t>
  </si>
  <si>
    <t>CARBAJAL GOMES, FABIAN</t>
  </si>
  <si>
    <t>GALINDO ALTAMIRANO, JUAN</t>
  </si>
  <si>
    <t>ALCARRAZ GALINDO, ERLINDA</t>
  </si>
  <si>
    <t>VICENTE MAUCAYLLE, ARMANDINA</t>
  </si>
  <si>
    <t>YAURIS QUISPE, LEANDRO</t>
  </si>
  <si>
    <t>VELASQUEZ SALAZAR, OCTAVIA</t>
  </si>
  <si>
    <t>ATAO MAUCAYLLE, CELSO</t>
  </si>
  <si>
    <t>HUAMAN HURTADO, ALFONSO</t>
  </si>
  <si>
    <t>HUAMAN VILLANO, JULIAN</t>
  </si>
  <si>
    <t>ATAO CARDENAS, EDGAR</t>
  </si>
  <si>
    <t>ATAO RODRIGES, ALICIA</t>
  </si>
  <si>
    <t>GALINDO TELLO, SABINA</t>
  </si>
  <si>
    <t>GASPAR OSCCO, ESTHER</t>
  </si>
  <si>
    <t>FRANCO HERHUAY, LEONIDAS</t>
  </si>
  <si>
    <t>RINCON ROJAS, MARTHA</t>
  </si>
  <si>
    <t>CCCOICA ALARCON, JOSE</t>
  </si>
  <si>
    <t>NAVARRO AMESQUITO, BACILIA</t>
  </si>
  <si>
    <t>CORONADO DE RINCON, EDISON</t>
  </si>
  <si>
    <t>GASPAR HURTADO, MAXIMO</t>
  </si>
  <si>
    <t>RINCON MESARES, ROSA</t>
  </si>
  <si>
    <t>ROMAN OSCCO, ROCIO</t>
  </si>
  <si>
    <t>SANCHES RIVAS, FELICITAS</t>
  </si>
  <si>
    <t>ROMERO GONZALES, CIPRIANO</t>
  </si>
  <si>
    <t>JUAREZ RINCON, CRESILDA</t>
  </si>
  <si>
    <t>RINCON FLORES, SAMUEL</t>
  </si>
  <si>
    <t>SANCHES NOLASCO, JAVIER</t>
  </si>
  <si>
    <t>HUARHUAS ACHAVE, EFRAIN</t>
  </si>
  <si>
    <t>GONZALES DE BARRIENTOS, ELVIRA ROSA JUANA</t>
  </si>
  <si>
    <t>ZU¥IGA ANDIA, DEMETRIO</t>
  </si>
  <si>
    <t>CASTILLO TORREN, ROMULO</t>
  </si>
  <si>
    <t>NOLASCO CHAHUILLCO, VICITACION</t>
  </si>
  <si>
    <t>MESARES ROMAN, VIRGINIA</t>
  </si>
  <si>
    <t>MUÑOS AGILAR, JESUS FELIPE</t>
  </si>
  <si>
    <t>HUACHUILLCA NAVARRO, ZENOBIA</t>
  </si>
  <si>
    <t>FLORES PINTO, DIONICIA</t>
  </si>
  <si>
    <t>LOZANO QUISPE, JUAN</t>
  </si>
  <si>
    <t>SAMANEZ ALARCON, VICTOR</t>
  </si>
  <si>
    <t>HUAYLLA TELLO, GUDELIA</t>
  </si>
  <si>
    <t>LOAYZA GUSMAN, SIXTO</t>
  </si>
  <si>
    <t>ALEGRIA HUAYHUA, PABLO</t>
  </si>
  <si>
    <t>OROSCO HUACHUHUILLCA, FLORA</t>
  </si>
  <si>
    <t>PUMALLANQUI HUAMANI, ALEJANDRA</t>
  </si>
  <si>
    <t>MESARES NOLASCO, ISABEL</t>
  </si>
  <si>
    <t>VARGAS CONDOR, YENY</t>
  </si>
  <si>
    <t>HUAMAN MALLMA, PABLO</t>
  </si>
  <si>
    <t>RINCON BERNAOLA, VICENTE</t>
  </si>
  <si>
    <t>RINCON FLORES, JENOVEVA</t>
  </si>
  <si>
    <t>VELASQUE VARGAS, GREGORIO</t>
  </si>
  <si>
    <t>SANCHEZ LAUPA, JESUS</t>
  </si>
  <si>
    <t>RIVAS ARENAS, LUZ MARINA</t>
  </si>
  <si>
    <t>MEZARES MALLMA, AYDEE</t>
  </si>
  <si>
    <t>CARDENAS DE LAUPA, EGIDIA ISABEL</t>
  </si>
  <si>
    <t>ROJAS QUISPE, JOSE</t>
  </si>
  <si>
    <t>RIVAS HURTADO, LIONEL</t>
  </si>
  <si>
    <t>CHACON LIMA, VIDAL FLORENCIO</t>
  </si>
  <si>
    <t>ALTAMIRANO GUZMAN, GILBERTO</t>
  </si>
  <si>
    <t>FLORES HURTADO, CESAR</t>
  </si>
  <si>
    <t>QUISPE PISCCO, TOMAS</t>
  </si>
  <si>
    <t>AMABLE PICHIHUA, LEONCIO</t>
  </si>
  <si>
    <t>AROHUILLCA OSCCO, GREGORIO</t>
  </si>
  <si>
    <t>HUAMAN QUISPE, SATURNINO</t>
  </si>
  <si>
    <t>ALLCCA QUISPE, HIPOLITO</t>
  </si>
  <si>
    <t>ALVAREZ QUISPE, GUMERCINDA</t>
  </si>
  <si>
    <t>QUISPE VARGAS, FELIX</t>
  </si>
  <si>
    <t>OSCCO CCORISONCCO, VALENTIN</t>
  </si>
  <si>
    <t>HUAMAN SOPANTA, HECTOR</t>
  </si>
  <si>
    <t>HUAMAN MALLQUI, FELICITAS</t>
  </si>
  <si>
    <t>AROHUILLCA PALOMINO, VICTORIA</t>
  </si>
  <si>
    <t>YAURIS QUISPE, VICTOR</t>
  </si>
  <si>
    <t>HUACHUHUILLCA QUISPE, GREGORIO</t>
  </si>
  <si>
    <t>QUISPE VARGAS, HONORATO</t>
  </si>
  <si>
    <t>HUACHUHUILLCA QUISPE, GENARO</t>
  </si>
  <si>
    <t>HUAMAN LEGUIA, ARMANDO</t>
  </si>
  <si>
    <t>MAUCAILLE QUISPE, EFRAIN</t>
  </si>
  <si>
    <t>QUISPE MAUCAYLLE, BASILIO</t>
  </si>
  <si>
    <t>MAUCAYLLE YAURIS, FAUSTINA</t>
  </si>
  <si>
    <t>CCORIMANYA TOMAYLLA, SANTOSA</t>
  </si>
  <si>
    <t>CCORIMANYA SAYAGO, TEODORA</t>
  </si>
  <si>
    <t>OSCCO MAUCAYLLE, PAULINA</t>
  </si>
  <si>
    <t>CCORISONCCO ALLCCA, EDGAR</t>
  </si>
  <si>
    <t>QUISPE MERINO, HERLINDA</t>
  </si>
  <si>
    <t>PICHIHUA MAUCAYLLE, ROSA</t>
  </si>
  <si>
    <t>GUTIERREZ ANAMPA, SOSIMO</t>
  </si>
  <si>
    <t>CARDENAS OSCCO, GREGORIO</t>
  </si>
  <si>
    <t>ARONI HUAMAN, LOURDES</t>
  </si>
  <si>
    <t>VARGAS CASAFRANCA, ORLANDO</t>
  </si>
  <si>
    <t>ROJAS HURTADO, BELIZARIO</t>
  </si>
  <si>
    <t>ALTAMIRANO PAHUARA, OSCAR</t>
  </si>
  <si>
    <t>PICHIHUA DE LLANTOY, FRANCISCA</t>
  </si>
  <si>
    <t>CARDENAS YAURIS, LUCIANO</t>
  </si>
  <si>
    <t>PEREZ HUAMAN, RICARDO</t>
  </si>
  <si>
    <t>QUISPE SOPANTA, DELIA</t>
  </si>
  <si>
    <t>ALVAREZ PEREZ, JUAN</t>
  </si>
  <si>
    <t>ALVAREZ QUISPE, FLORENCIO</t>
  </si>
  <si>
    <t>MALLQUI SULLCA, EDWIN</t>
  </si>
  <si>
    <t>LEGUIA MAUCAYLLE, LORENZA</t>
  </si>
  <si>
    <t>OSCCO ATAO, TEODOR</t>
  </si>
  <si>
    <t>CARRASCO HURTADO, JUAN UBALDO</t>
  </si>
  <si>
    <t>CHOQUE SAICO, MANUEL</t>
  </si>
  <si>
    <t>HERHUAY MUÑOZ, GRACIELA</t>
  </si>
  <si>
    <t>MUÑOZ LAUPA, MANUEL</t>
  </si>
  <si>
    <t>CCOICCA LEGUIA, MARCELINO</t>
  </si>
  <si>
    <t>CCOICA GUILLEN, ALFONSO ALEJANDRO</t>
  </si>
  <si>
    <t>OSCCO RRIVAS, TEOFILO</t>
  </si>
  <si>
    <t>MEDINA NUÑEZ, SEGUNDO</t>
  </si>
  <si>
    <t>SOTO HUAMAN, DAVID</t>
  </si>
  <si>
    <t>ALTAMIRANO MELENDES, TEOFILA</t>
  </si>
  <si>
    <t>LEGUIA MEDINA, DRAKE ROY</t>
  </si>
  <si>
    <t>MONDALGO MUÑOS, ANTONIA</t>
  </si>
  <si>
    <t>MEDINA MESA, FELICITAS</t>
  </si>
  <si>
    <t>CARBAJAL LIZARME, MARTINEL</t>
  </si>
  <si>
    <t>NAVARRO LIMACHI, VICTOR</t>
  </si>
  <si>
    <t>OROSCO MONDALGO, ROSARIO</t>
  </si>
  <si>
    <t>HERHUAY  INCA, DAVID</t>
  </si>
  <si>
    <t>MONDALGO MUÑOS, HERMELINDA</t>
  </si>
  <si>
    <t>GONZALES OROSCO, ANA</t>
  </si>
  <si>
    <t>CAMPOS DE GONZALES, VIRGINIA</t>
  </si>
  <si>
    <t>FRANCO PACHECO, YOLANDA</t>
  </si>
  <si>
    <t>GONSALES MEDINA, JULIA</t>
  </si>
  <si>
    <t>PALOMINO ATAO, MATHA CARMEN</t>
  </si>
  <si>
    <t>PALOMINO MEDINA, VILMA</t>
  </si>
  <si>
    <t>MEDINA GONZALES, RICARDINA</t>
  </si>
  <si>
    <t>FLORES RRAMIRES, PILAR JOVITA</t>
  </si>
  <si>
    <t>ESPINOSA TORBISCO, WILMER</t>
  </si>
  <si>
    <t>VARGAS ATAO, IRENE</t>
  </si>
  <si>
    <t>MEDINA ALARCON, LUCIA</t>
  </si>
  <si>
    <t>PALOMINO ALARCON, FELICITAS</t>
  </si>
  <si>
    <t>GONSALES OROSCO, NEMECIA</t>
  </si>
  <si>
    <t>GONZALES DE MEDINA, BARBARA</t>
  </si>
  <si>
    <t>VIBANCO VEGA, ERNESTO</t>
  </si>
  <si>
    <t>VELASCO MONDALGO, MARIA FLORITA</t>
  </si>
  <si>
    <t>HUAMANI FARFAN, ADAN</t>
  </si>
  <si>
    <t>TRUYENQUE NAVARRO, EFROCINA</t>
  </si>
  <si>
    <t>VARGAS ALTAMIRANO, YANET</t>
  </si>
  <si>
    <t>OLIVERA DE HUAMAN, AQUILINA</t>
  </si>
  <si>
    <t>HERHUAY OSCCO, JULIO</t>
  </si>
  <si>
    <t>OROSCO TITO, BENEDICTA SANTOSA</t>
  </si>
  <si>
    <t>ESPINOSA FRANCO, LUCILA</t>
  </si>
  <si>
    <t>MALLMA MUÑOS, YOLANDA</t>
  </si>
  <si>
    <t>JUNCO CESPEDES, VILMA</t>
  </si>
  <si>
    <t>AROHUILLCA HUAMAN, OLGA INES</t>
  </si>
  <si>
    <t>LAIME LLICAHUA, MARCELINO</t>
  </si>
  <si>
    <t>CABRERA ARCOS, RICARDO</t>
  </si>
  <si>
    <t>PACHECO RIBAS, LUCIANO</t>
  </si>
  <si>
    <t>CARBAJAL ALARCON, HERMINIA</t>
  </si>
  <si>
    <t>TRUYENQUE MEDINA, NEISA</t>
  </si>
  <si>
    <t>TRUYENQUE NAVARRO, JULIA</t>
  </si>
  <si>
    <t>GONSALES ALARCON, TEODORA</t>
  </si>
  <si>
    <t>VELASQUE OROSCO, RUTH MARIBEL</t>
  </si>
  <si>
    <t>CCOCHACHI CAMACI, NEMECIA</t>
  </si>
  <si>
    <t>OROSCO MONDALGO, MARCELINA</t>
  </si>
  <si>
    <t>ALTAMIRANO VELASQUE, EMILIANA</t>
  </si>
  <si>
    <t>ALTAMIRANO DE PACHECO, CIRILA ALEJANDRINA</t>
  </si>
  <si>
    <t>OLIVERA CCOICCA, MAXIMILIANO</t>
  </si>
  <si>
    <t>ROJAS VELASQUE, EULOGIO</t>
  </si>
  <si>
    <t>INCA LUDEÑA, JUANA</t>
  </si>
  <si>
    <t>NUÑEZ LUDEÑA, ALBERTO</t>
  </si>
  <si>
    <t>CHOCCE PALOMINO, INDALECIO</t>
  </si>
  <si>
    <t>CCORISONCCO ZUÑIGA, EMETERIO</t>
  </si>
  <si>
    <t>VARGAS HUAMAN, CLOTILDE MARUJA</t>
  </si>
  <si>
    <t>CARBAJAL GOMEZ, EMILIA</t>
  </si>
  <si>
    <t>VELASQUE CANA, ANA MARIA</t>
  </si>
  <si>
    <t>TORBISCO L., JUAN LUCIO</t>
  </si>
  <si>
    <t>GARFIAS OSCCO, CAMILA HILDA</t>
  </si>
  <si>
    <t>OSCCO DE ZUÑIGA, ISSIDORA</t>
  </si>
  <si>
    <t>CARBAJAL FUNDIS, LEOCADIA</t>
  </si>
  <si>
    <t>SOTO HUAMAN, PRIMITIVA</t>
  </si>
  <si>
    <t>VARGAS NUÑEZ, NORMA</t>
  </si>
  <si>
    <t>OLIVERA OSCCO, TEOFILO</t>
  </si>
  <si>
    <t>CCORISAPRA MONDALGO, LIDIA</t>
  </si>
  <si>
    <t>LIZARME QUINTANA, RUTH MIRTHA</t>
  </si>
  <si>
    <t>QUINTANA SANCHEZ, ORESTES</t>
  </si>
  <si>
    <t>FRANCO PACHECO, AUREA</t>
  </si>
  <si>
    <t>JUNCO VARGAS, ESTEBAN</t>
  </si>
  <si>
    <t>DIAZ ROMERO, FELICITAS</t>
  </si>
  <si>
    <t>VARGAS MORILL, BERNABE JUAN</t>
  </si>
  <si>
    <t>HUAMAN VARGAS, AURELIA</t>
  </si>
  <si>
    <t>MONDALGO HUAMAN, NELY</t>
  </si>
  <si>
    <t>VARGAS MUÑOZ, JOVITA</t>
  </si>
  <si>
    <t>VARGAS ZUÑIGA, RICHARD</t>
  </si>
  <si>
    <t>ZUÑIGA NUÑEZ, HECTOR</t>
  </si>
  <si>
    <t>LOPEZ OSCCO, CARMEN</t>
  </si>
  <si>
    <t>ISUIZA ISUIZA, ROSA</t>
  </si>
  <si>
    <t>VARGAS HUAMAN, JULIA</t>
  </si>
  <si>
    <t>YNCA LUDEÑA, MARINA</t>
  </si>
  <si>
    <t>HUAMAN ROMERO, NANCY</t>
  </si>
  <si>
    <t>RINCON VELARNE, DAYNER</t>
  </si>
  <si>
    <t>CAÑARI DIAZ, ANDREA</t>
  </si>
  <si>
    <t>HUACHOHUILLCA VARGAS, MATIASA</t>
  </si>
  <si>
    <t>CAÑARI DIAS, JUANITA</t>
  </si>
  <si>
    <t>OSCCO CAÑARI, VILMA</t>
  </si>
  <si>
    <t>SUCA ROJAS, SANTOSA</t>
  </si>
  <si>
    <t>CAÑARI VELASQUE, ROSA</t>
  </si>
  <si>
    <t>VICENTE CARDENAS, JORGINA</t>
  </si>
  <si>
    <t>VARGAS DE ALLCCAHUAMAN, MAGDALENA</t>
  </si>
  <si>
    <t>ZUÑIGA VILLEGAS, OCTAVILA</t>
  </si>
  <si>
    <t>TITO GUILLEN, EFRAIN</t>
  </si>
  <si>
    <t>RODAS VELASQUE, ENRIQUE</t>
  </si>
  <si>
    <t>RODAS JUNCO, SANDRA</t>
  </si>
  <si>
    <t>CARDENAS MOREL, JUAN ELIAS</t>
  </si>
  <si>
    <t>CARDENAS HERHUAY, EULALIA</t>
  </si>
  <si>
    <t>VICENTE MAUCAYLLE, LUCIANO</t>
  </si>
  <si>
    <t>RINCON ALTAMIRANO, LAURA</t>
  </si>
  <si>
    <t>VICENTE CARDENAS, CALIXTA</t>
  </si>
  <si>
    <t>GARFIAS DE INCA, JUSTINO</t>
  </si>
  <si>
    <t>HERHUAY OSCCO, ANDREA</t>
  </si>
  <si>
    <t>VIVANCO MUÑOZ, ELSA</t>
  </si>
  <si>
    <t>CCORAHUA MEZARES, MAURO</t>
  </si>
  <si>
    <t>INCA HUAMAN, DOMITILA</t>
  </si>
  <si>
    <t>HUAMAN DE VELASQUE, LORENSA</t>
  </si>
  <si>
    <t>GALLEGOS ZARATE, CLARITH</t>
  </si>
  <si>
    <t>CARDENAS MORALES, CELIA</t>
  </si>
  <si>
    <t>VIVANCO PACHECO, JUAN HERIBERTO</t>
  </si>
  <si>
    <t>JUNCO PALOMINO, MERY</t>
  </si>
  <si>
    <t>ZARATE NAVARRO, AURORA</t>
  </si>
  <si>
    <t>ARONI MOLER, SONIA</t>
  </si>
  <si>
    <t>PALOMINO LAUPA, RENY</t>
  </si>
  <si>
    <t>MOREL HUARCAYA, AURELIA</t>
  </si>
  <si>
    <t>JIMENES DE MEDINA, CIRILA</t>
  </si>
  <si>
    <t>OLIVERA MUÑOS, CARLOS ESCOLASTICO</t>
  </si>
  <si>
    <t>ECHEVARRIA VELASQUEZ, AUGUSTO</t>
  </si>
  <si>
    <t>GIRON ZARATE, AQUILINA</t>
  </si>
  <si>
    <t>LOBATON DE NAVARRO, FRANCISCA GABINA</t>
  </si>
  <si>
    <t>INCA NAVEROS, LUIS</t>
  </si>
  <si>
    <t>KAQUIABAMBA</t>
  </si>
  <si>
    <t>CARDENAS HERHUAY, EPIFANIA</t>
  </si>
  <si>
    <t>TITO HUAYANA, BASILISA</t>
  </si>
  <si>
    <t>YNCA PACHECO, AURELIA</t>
  </si>
  <si>
    <t>MONDALGO DE HUAMAN, FABIANA</t>
  </si>
  <si>
    <t>CCOICCA PACHECO, ELCIDA VICTORIA</t>
  </si>
  <si>
    <t>MUÑOZ GALINDO, MERCEDES</t>
  </si>
  <si>
    <t>SAMANEZ GARFIAS, MAXIMO</t>
  </si>
  <si>
    <t>HUAMAN QUINTANA, MARCELINO</t>
  </si>
  <si>
    <t>QUINTANA FLORES, GREGORIA</t>
  </si>
  <si>
    <t>PALOMINA DE MONDALGO, EULALIA MELICIA</t>
  </si>
  <si>
    <t>DAMIANO PEREZ, HONORATO</t>
  </si>
  <si>
    <t>DAMIANO MEDINA, HILDA</t>
  </si>
  <si>
    <t>SEGOVIA VARGAS, JUSTINA</t>
  </si>
  <si>
    <t>MUÑOZ NAVARRO, JULIO CESAR</t>
  </si>
  <si>
    <t>JUARES FRANCO, SANTOSA</t>
  </si>
  <si>
    <t>HUAMAN ROMAN, ZACARIAS PAULINO</t>
  </si>
  <si>
    <t>MONDALGO SANCHEZ, MARIA</t>
  </si>
  <si>
    <t>ZUÑIGA HUARCAYA, FEDERICO</t>
  </si>
  <si>
    <t>HUAMAN DAMIANO, JESUSA</t>
  </si>
  <si>
    <t>GUILLEN PALOMINO, YLDA</t>
  </si>
  <si>
    <t>PEDRAZA DE QUISPE, LEONARDA</t>
  </si>
  <si>
    <t>CCOICCA HUARCAYA, SANTA TERESA</t>
  </si>
  <si>
    <t>RIVAS ZARATE, SANTOS</t>
  </si>
  <si>
    <t>NAVEROS DE BAUTISTA, FIDELIA</t>
  </si>
  <si>
    <t>VARGAS OROSCO, OLIMPIADA</t>
  </si>
  <si>
    <t>ROMAN ATAO, PABLO ALEJANDRO</t>
  </si>
  <si>
    <t>JUAREZ FRANCO, GRACIELA</t>
  </si>
  <si>
    <t>CCARHUAS RIVAS, SABINO</t>
  </si>
  <si>
    <t>ENCISO MAITAN, MERIDA</t>
  </si>
  <si>
    <t>GALLEGOS PALOMINO, PRIMO FELICIANO</t>
  </si>
  <si>
    <t>CARBAJAL CCORAHUA, JULIA</t>
  </si>
  <si>
    <t>JUNCO DE TORBISCO, HONORATA</t>
  </si>
  <si>
    <t>OROSCO HERHUAY, DANIEL</t>
  </si>
  <si>
    <t>SALAZAR MUÑOZ, ANTONIA</t>
  </si>
  <si>
    <t>SALAZAR MUÑOZ, EMILIA CELESTINA</t>
  </si>
  <si>
    <t>MUÑOZ MOREL, JHON HENRY</t>
  </si>
  <si>
    <t>DAMIANO ALVAREZ, ANGEL</t>
  </si>
  <si>
    <t>CCORAHUA NAVELO, JOSE</t>
  </si>
  <si>
    <t>MUÑOZ MONTES, NOEMI</t>
  </si>
  <si>
    <t>ALLCCAHUAMAN MONDALGO, OLINDA</t>
  </si>
  <si>
    <t>ROMAN HUAMAN, JORGE</t>
  </si>
  <si>
    <t>ARIAS MAUCAYLLE, FELIPE</t>
  </si>
  <si>
    <t>TITO CASTILLO, CLEOFE</t>
  </si>
  <si>
    <t>VELASQUE TITO, JULIO CESAR</t>
  </si>
  <si>
    <t>VELASQUE OSCCO, OLGA</t>
  </si>
  <si>
    <t>SILVERA VARGAS, FRANCISCO</t>
  </si>
  <si>
    <t>MONDALGO OMONTE, SABINO</t>
  </si>
  <si>
    <t>YNCA ALLCCAHUAMAN, PAULINA</t>
  </si>
  <si>
    <t>CURO CCARHUAS, CASIMIRA</t>
  </si>
  <si>
    <t>ACUÑA DE LEGUIA, NEMESIA</t>
  </si>
  <si>
    <t>DAMIANO PACHECO, SERGIO</t>
  </si>
  <si>
    <t>NAVEROS LIZARME, JOVITA</t>
  </si>
  <si>
    <t>OSCCO VELASQUE, HERMELINDA</t>
  </si>
  <si>
    <t>ROJAS DAMIANO, FAUSTO</t>
  </si>
  <si>
    <t>DAMIANO PACHECO, CIRILA</t>
  </si>
  <si>
    <t>SAMANEZ ALTAMIRANO, JUAN BAUTISTA</t>
  </si>
  <si>
    <t>ALTAMIRANO JUNCO, HONORATA</t>
  </si>
  <si>
    <t>HUAMAN CHILINGANO, GLICERIO</t>
  </si>
  <si>
    <t>LAURA MESARES, DENNIA</t>
  </si>
  <si>
    <t>ABOLLANEDA CENTENO, FLORENCIA</t>
  </si>
  <si>
    <t>QUISPE FLORES, EDUARDO</t>
  </si>
  <si>
    <t>RIVAS DE ALLCCAHUAMAN, CATALINA</t>
  </si>
  <si>
    <t>ALLCCAHUAMAN DAMIANO, CECILIA</t>
  </si>
  <si>
    <t>LEGUIA OLARTE, MAXIMILIANO</t>
  </si>
  <si>
    <t>CHILINGANO DE HUARCAYA, VIBIANA</t>
  </si>
  <si>
    <t>ALLCCAHUAMAN MONDALGO, ANELI</t>
  </si>
  <si>
    <t>ATAO CARRION, ANTONIA</t>
  </si>
  <si>
    <t>MACUTE PEDRAZA, FORTUNATA</t>
  </si>
  <si>
    <t>SAMANEZ GARFIAS, GERARDINA</t>
  </si>
  <si>
    <t>MACUTE HUAYTA, ELVERTINA GRIMALDINA</t>
  </si>
  <si>
    <t>SAMANEZ OSCCO, MARINO</t>
  </si>
  <si>
    <t>LEGUIA VISCAINO, SANTOSA</t>
  </si>
  <si>
    <t>BULEJE PALOMINO, ALEJANDRO</t>
  </si>
  <si>
    <t>ARONI VELASQUE, SANTA VICTORIA</t>
  </si>
  <si>
    <t>CRUZ ATAHUA, VICENTONA</t>
  </si>
  <si>
    <t>ATAO DE CRUZ, CECILIA</t>
  </si>
  <si>
    <t>GALINDO HUAMAN, MIRIAN INES</t>
  </si>
  <si>
    <t>JUNCO BUITRON, ALEJANDRINA</t>
  </si>
  <si>
    <t>CCORISONCCO AROHUILLCA, YESICA</t>
  </si>
  <si>
    <t>BUITRON HUAMAN, MANUEL</t>
  </si>
  <si>
    <t>JUNCO HUAMAN, BERTHA</t>
  </si>
  <si>
    <t>CABRERA OSCCO, MARINO</t>
  </si>
  <si>
    <t>AROHUILCA QUINTANA, SANTIAGO</t>
  </si>
  <si>
    <t>OSCCO VARGAS, RITA</t>
  </si>
  <si>
    <t>BAUTISTA GUILLEN, ERMELINDA AGUSTINA</t>
  </si>
  <si>
    <t>OSCCO SALAZAR DE NAVEROS, MODESTA</t>
  </si>
  <si>
    <t>VARGAS OROSCO, CLOTILDE</t>
  </si>
  <si>
    <t>VARGAS DE JUNCO, VIRGUINIA</t>
  </si>
  <si>
    <t>VARGAS OROSCO, EDITH</t>
  </si>
  <si>
    <t>MUÑOZ DE VARGAS, SANTOSA</t>
  </si>
  <si>
    <t>ARANDIA  DE TITO, BEATRIZ</t>
  </si>
  <si>
    <t>QUISPE TAIPE, CANDELARIA</t>
  </si>
  <si>
    <t>MENDES JUNCO, JUSTINA MAURA</t>
  </si>
  <si>
    <t>TITO NAVEROS, LEONIDAS</t>
  </si>
  <si>
    <t>PASTOR HUAMAN, YDULINA</t>
  </si>
  <si>
    <t>OROSCO MAITAN, WALTER BENJAMIN</t>
  </si>
  <si>
    <t>HUAMAN VARAGAS, MELCIADES</t>
  </si>
  <si>
    <t>HUAMAN SALAZAR, EMILIO</t>
  </si>
  <si>
    <t>ALLCCA MAUCAYLLE, SONIA</t>
  </si>
  <si>
    <t>VELASQUE HUAMAN, MARIO</t>
  </si>
  <si>
    <t>SOTO HUAMAN, EDY</t>
  </si>
  <si>
    <t>HERHUAY CARDENAS, DELIA</t>
  </si>
  <si>
    <t>HUHACHUILLCA OSCCO, SANTOSA</t>
  </si>
  <si>
    <t>CARDENAS GUTIERREZ, EULOGIA</t>
  </si>
  <si>
    <t>LUDEÑA MENDOZA, JESSICA NORMA</t>
  </si>
  <si>
    <t>BUITRON JUNCO, VICTORIA</t>
  </si>
  <si>
    <t>AROHUILLCA OSCCO, FRANCISCO</t>
  </si>
  <si>
    <t>VARGAS DE HUAMAN&lt;, MARGARITA MARIA</t>
  </si>
  <si>
    <t>LIZARME CORDOVA, IRENE</t>
  </si>
  <si>
    <t>HUAMAN MAYTAN, SONIA ROSARIA</t>
  </si>
  <si>
    <t>HUAMAN QUISPE, CATALINA</t>
  </si>
  <si>
    <t>HUACHOHUILLCA HUAMAN, SABINO</t>
  </si>
  <si>
    <t>DELGADILLO OSCCO, ZENAIDA</t>
  </si>
  <si>
    <t>HUAMAN BUITRON, EMILIA</t>
  </si>
  <si>
    <t>VELASQUE OSCCO, MATILDE</t>
  </si>
  <si>
    <t>GARFIAS MELENDEZ, DELIA FLORENCIA</t>
  </si>
  <si>
    <t>VELASQUE OSCCO, YSABEL</t>
  </si>
  <si>
    <t>GARFIAS MELENDEZ, JUANA MARINA</t>
  </si>
  <si>
    <t>MELENDEZ DE GARFIAS, LEOCADIA</t>
  </si>
  <si>
    <t>NAVEROS SALAZAR, SANTIAGO</t>
  </si>
  <si>
    <t>HERHUAY TITO, DINA</t>
  </si>
  <si>
    <t>NAVEROS FLORES, ROSA</t>
  </si>
  <si>
    <t>HUAMAN MONDALGO, MARCELINO</t>
  </si>
  <si>
    <t>PERES JUNCO, ERASMO</t>
  </si>
  <si>
    <t>DIAZ OSCCO, FELIX</t>
  </si>
  <si>
    <t>LAOPA DE HUAMAN, JUANA LUCILA</t>
  </si>
  <si>
    <t>MONDALGO LUDEÑA, EDELFINA</t>
  </si>
  <si>
    <t>HUAMAN GALINDO, JULIANA</t>
  </si>
  <si>
    <t>TAIPE PACHECO, MARINA</t>
  </si>
  <si>
    <t>TAIPÉ PACHECO, ROSENDA</t>
  </si>
  <si>
    <t>NAVEROS GALINDO, LUCILA</t>
  </si>
  <si>
    <t>HUAMAN DE HERHUAY, LUCY FANY</t>
  </si>
  <si>
    <t>BUITRON CCECCAÑA, JULIO</t>
  </si>
  <si>
    <t>HERHUAY LIMA, MAURO FELIX</t>
  </si>
  <si>
    <t>OROSCO HUAMAN, SANTA CESILIA</t>
  </si>
  <si>
    <t>MUÑOZ MENDEZ, FORTUNATA</t>
  </si>
  <si>
    <t>MUÑOS PACHECO, TEOFILA</t>
  </si>
  <si>
    <t>HUACHUILLCA PACHECO, ANTONIO</t>
  </si>
  <si>
    <t>LEGUIA DE QUIQUINLLA, DOMINGA</t>
  </si>
  <si>
    <t>BAUTISTA DE PACHECO, JUANA PAULA</t>
  </si>
  <si>
    <t>TORBISCO TITO, FELIPE</t>
  </si>
  <si>
    <t>TORBISCO VARGAS, ALIPIO</t>
  </si>
  <si>
    <t>CHOCCE MONDALGO, JULIA</t>
  </si>
  <si>
    <t>HUERHUAY QUISPE, LUZMILA</t>
  </si>
  <si>
    <t>VARGAS CORDOVA, WILDER</t>
  </si>
  <si>
    <t>FRANCO NAVARRO, OSCAR</t>
  </si>
  <si>
    <t>PACHECO BULEJE, JAIME</t>
  </si>
  <si>
    <t>TITO OROSCO, ZAIDA</t>
  </si>
  <si>
    <t>LUDEÑA NAVEROS, SALOMINA</t>
  </si>
  <si>
    <t>OROSCO MAYTAN, RAUL</t>
  </si>
  <si>
    <t>VARGAS ARONI, SUSANA</t>
  </si>
  <si>
    <t>CCOICCA NAVARRO, JOSE</t>
  </si>
  <si>
    <t>PACHECO HERHUAY, FABIO</t>
  </si>
  <si>
    <t>GALINDO VIVANCO, CIRILA</t>
  </si>
  <si>
    <t>PALOMINO OROSCO, DEESY</t>
  </si>
  <si>
    <t>ZUÑIGA HUARCAYA, GUILLERMINA BLANCA</t>
  </si>
  <si>
    <t>OROSCO CAÑARI, FEDERICO</t>
  </si>
  <si>
    <t>PACHECO MUÑOZ, MARIBEL</t>
  </si>
  <si>
    <t>SOLIS HUACHACCA, MOISES</t>
  </si>
  <si>
    <t>CANCHARI OROSCO, MIGUEL ANGEL</t>
  </si>
  <si>
    <t>GIRON SARATE, ROSA DIONICIA</t>
  </si>
  <si>
    <t>VARGAS MUÑOZ, YOLANDA TEOFILA</t>
  </si>
  <si>
    <t>LEGUIA PEREZ, EUDOCIA</t>
  </si>
  <si>
    <t>SOTO QUINTANA, MARINA</t>
  </si>
  <si>
    <t>PEREZ DE MONDALGO, ANTONIO</t>
  </si>
  <si>
    <t>HERHUAY HUAMAN, DAVID NELSON</t>
  </si>
  <si>
    <t>ORE ZUÑIGA, AGRIPINA</t>
  </si>
  <si>
    <t>TITO OROSCO, SONIA FRANSISCA</t>
  </si>
  <si>
    <t>RIVAS VARGAS VDA DE NUÑEZ, CECILIA</t>
  </si>
  <si>
    <t>HUAMAN NAVEROS, NEMESIO</t>
  </si>
  <si>
    <t>VARGAS LUJAN, HECTOR</t>
  </si>
  <si>
    <t>NAVARRO DIAZ, GLADIS</t>
  </si>
  <si>
    <t>PALOMINO HERHUAY, HERMELINDA</t>
  </si>
  <si>
    <t>ZUÑIGA ORE, TEREZA</t>
  </si>
  <si>
    <t>RIVAS MENDOZA, NELY</t>
  </si>
  <si>
    <t>HERHUAY CARDENAS, TERESA</t>
  </si>
  <si>
    <t>NAVARRO OSCCO, PAULA</t>
  </si>
  <si>
    <t>NAVARRO OSCCO, GLICERIO</t>
  </si>
  <si>
    <t>HUAMAN OLARTE, MARILSA</t>
  </si>
  <si>
    <t>OROSCO PACHECO, ALICIA</t>
  </si>
  <si>
    <t>HERHUAY OSCCO, BERNABE</t>
  </si>
  <si>
    <t>CAÑARI VASQUEZ, ANTONIUO</t>
  </si>
  <si>
    <t>HUAMAN CHOCCE, CIPRIANA</t>
  </si>
  <si>
    <t>VASQUEZ OSCCO, DELFINA</t>
  </si>
  <si>
    <t>CAÑARI LUDEÑA, LEONARDO</t>
  </si>
  <si>
    <t>JUNCO TORRES, SANTOS</t>
  </si>
  <si>
    <t>OSCCO NAVEROS, LEONCIO</t>
  </si>
  <si>
    <t>PAHUARA CCOYCCA, JUSTINA</t>
  </si>
  <si>
    <t>VASQUEZ OSCCO, MARTHA</t>
  </si>
  <si>
    <t>PAHUARA VARGAS, GLICERIO</t>
  </si>
  <si>
    <t>HUAMAN CUSI, MARIA CONCEPCION</t>
  </si>
  <si>
    <t>HUAMAN YANAHUAMAN, SATURNINO</t>
  </si>
  <si>
    <t>VARGAS TORBISCO, MARCELINO</t>
  </si>
  <si>
    <t>VELASQUE VARGAS, ELELNA</t>
  </si>
  <si>
    <t>VARGAS ATAO, EMILIA</t>
  </si>
  <si>
    <t>VARGAS RIVAS, FRANCISCO</t>
  </si>
  <si>
    <t>VARGAS TAIPE, CELIA</t>
  </si>
  <si>
    <t>TITO TAYPE, ALBERTO</t>
  </si>
  <si>
    <t>OSCCO DE VELASQUE, EMILIA</t>
  </si>
  <si>
    <t>HUAMAN MONDALGO, BALDOMERO</t>
  </si>
  <si>
    <t>HERHUAY LEGUIA, ARNALDO</t>
  </si>
  <si>
    <t>HERHUAY OSCCO, SANTIAGO</t>
  </si>
  <si>
    <t>YANAHUILLCA VARGAS, JUVENCIO</t>
  </si>
  <si>
    <t>HUAMAN CCORISONCCO, GUILLERMO</t>
  </si>
  <si>
    <t>CCORIZONCCO PEREZ, GILBERTO</t>
  </si>
  <si>
    <t>HUAMAN OMONTE, MARIO</t>
  </si>
  <si>
    <t>CUSI CCORISONCCO, MILQUIADES</t>
  </si>
  <si>
    <t>JUNCO YANAHUAMAN, MANUEL</t>
  </si>
  <si>
    <t>HUAMAN DE DUARTE, ANTONIA</t>
  </si>
  <si>
    <t>ALARCON YANAHUILLCA, FERNANDINA FELICITAS</t>
  </si>
  <si>
    <t>MORIANO HUAMAN, HERMINIA</t>
  </si>
  <si>
    <t>HUAMAN CCORIZONCCO, NIEVES</t>
  </si>
  <si>
    <t>HUAMAN RAMIREZ, VIRGINIA ANTONIA</t>
  </si>
  <si>
    <t>CAÑARI VASQUEZ, AGRIPINA</t>
  </si>
  <si>
    <t>HUAMAN VASQUEZ, ROBERTO</t>
  </si>
  <si>
    <t>VASQUEZ HUAMAN, GREGORIO</t>
  </si>
  <si>
    <t>PALOMINO CAÑARI, ESTHER</t>
  </si>
  <si>
    <t>PALOMINO OSCCO, RUTH</t>
  </si>
  <si>
    <t>MONDALGO LLASACCE, FLAVIO</t>
  </si>
  <si>
    <t>HUAMAN VASQUEZ, MARIA SANTOSA</t>
  </si>
  <si>
    <t>HUAMAN GUZMAN, JULIA</t>
  </si>
  <si>
    <t>BAUTISTA OMONTE, LORENZA</t>
  </si>
  <si>
    <t>CHIPANA OSCCO, JUAN</t>
  </si>
  <si>
    <t>PEDRAZA CALDERON, ALEJANDRO</t>
  </si>
  <si>
    <t>PALOMINO HUAMAN, HERLINDA</t>
  </si>
  <si>
    <t>CCORISONCCO NAVEROS, VICKY</t>
  </si>
  <si>
    <t>VASQUEZ PEDRAZA, CECILIA</t>
  </si>
  <si>
    <t>CAÑARI VASQUEZ, MARIBEL</t>
  </si>
  <si>
    <t>PACHECO PEREZ, NELLY</t>
  </si>
  <si>
    <t>PACHECO PEREZ, JUANA</t>
  </si>
  <si>
    <t>QUISPE DE DAMIANA, TEODORA</t>
  </si>
  <si>
    <t>RIVAS HERHUAY, ANGELICA</t>
  </si>
  <si>
    <t>HERHUAY LIMA, ALICIA</t>
  </si>
  <si>
    <t>QUISPE SALAZAR, EUDOCIA</t>
  </si>
  <si>
    <t>HUAMAN JUNCO, IGNACIO</t>
  </si>
  <si>
    <t>HUAMAN CACERES, ROSMEL</t>
  </si>
  <si>
    <t>CARRASCO OSCCO, MARGARITA</t>
  </si>
  <si>
    <t>GALINDO LIMACHE, VIRGINIA</t>
  </si>
  <si>
    <t>CARDENAS VASQUEZ, ISABEL</t>
  </si>
  <si>
    <t>OSCCO ZUÑIGA, JULIA</t>
  </si>
  <si>
    <t>ALTAMIRANO CAÑARI, MARIA CONCEPCION</t>
  </si>
  <si>
    <t>RAMOS HUAMAN, SIMONA</t>
  </si>
  <si>
    <t>PALOMINO CAÑARI, BERTHA</t>
  </si>
  <si>
    <t>OSCCO OSCCO, ANTONIA</t>
  </si>
  <si>
    <t>PEREZ ORTIGA, MAXIMILIANA</t>
  </si>
  <si>
    <t>AGUILAR DAMIANO,  FORTUNATO</t>
  </si>
  <si>
    <t>OSCCO LIMA, VIRGINIA</t>
  </si>
  <si>
    <t>ALFARO DAMIANO, GLICERIO</t>
  </si>
  <si>
    <t>LIMA HUAMAN, FORTUNATA</t>
  </si>
  <si>
    <t>HUACHUHUILLCA HUAMAN, VIRGINIA</t>
  </si>
  <si>
    <t>ALTAMIRANO BORDA, DIONISIO</t>
  </si>
  <si>
    <t>ORTEGA LUDEÑA, GUILLERMINA</t>
  </si>
  <si>
    <t>CASAFRANCA VELASQUE, ETILVINA</t>
  </si>
  <si>
    <t>LAURA CCOICCA, EZEQUIEL</t>
  </si>
  <si>
    <t>ALTAMIRANO BORDA, VALENTINA</t>
  </si>
  <si>
    <t>HURTADO DE BORDA, FORTUNATA</t>
  </si>
  <si>
    <t>BORDA GONZALES, EMILIANO</t>
  </si>
  <si>
    <t>CASTILLO VDA DE OSCCO, MICAELA</t>
  </si>
  <si>
    <t>BAUTISTA DE ALTAMIRANO, FELICIANA</t>
  </si>
  <si>
    <t>POMA VELASQUE, EMILIANO</t>
  </si>
  <si>
    <t>VIGURIA HUAMAN, EMILIANO</t>
  </si>
  <si>
    <t>HURTADO LEGUIA, ESTANIS</t>
  </si>
  <si>
    <t>AGUILAR VARGAS, ANTONIO</t>
  </si>
  <si>
    <t>POMA HURTADO, MARCELINA</t>
  </si>
  <si>
    <t>DAMIANO HUAMAN, WILBER</t>
  </si>
  <si>
    <t>MAITAN LEGUIA, SINFOROSA</t>
  </si>
  <si>
    <t>DAMIANO LEGUIA, MARILUZ</t>
  </si>
  <si>
    <t>HUAMAN DAMIANO, SHILY</t>
  </si>
  <si>
    <t>HUAMAN CCOICCA, TEODORA</t>
  </si>
  <si>
    <t>ALTAMIRANO DE TITO, CIRILA</t>
  </si>
  <si>
    <t>LEGUIA DAMIANO, FILOMENA SABINA</t>
  </si>
  <si>
    <t>DAMIANO LEGUIA, FLORA</t>
  </si>
  <si>
    <t>ZUÑIGA MONTOYA, MARIO</t>
  </si>
  <si>
    <t>GARFIAS OSCCO, ROSARIO</t>
  </si>
  <si>
    <t>HUAYANA NIEVE, NANCY BEATRIZ</t>
  </si>
  <si>
    <t>VASQUEZ HUAYANA, VIRGILIO</t>
  </si>
  <si>
    <t>OSCCO DE NIEVES, CALIXTA</t>
  </si>
  <si>
    <t>DAMIANO PALOMINO, JULIA JUANA</t>
  </si>
  <si>
    <t>PEREZ POMA, FELIX</t>
  </si>
  <si>
    <t>VASQUEZ VELAZQUE, SATURNINO</t>
  </si>
  <si>
    <t>CHILINGANO POMA, ROBERTA</t>
  </si>
  <si>
    <t>HUAMAN VELASQUE, EXALTACION</t>
  </si>
  <si>
    <t>HUAMAN CHILINGANO, ZENAIDA</t>
  </si>
  <si>
    <t>OSCCO ALDONATE, MARCELINA</t>
  </si>
  <si>
    <t>ZUÑIGA CURE, ROSALIA</t>
  </si>
  <si>
    <t>CCOICCA CHILINGANO, TOMAS</t>
  </si>
  <si>
    <t>CHIPAO HUAMAN, LISBETH</t>
  </si>
  <si>
    <t>MONDALGO CCOICCA, TERESA</t>
  </si>
  <si>
    <t>YUPANQUI RAMIREZ, BEATRIZ</t>
  </si>
  <si>
    <t>BORDA ESPINOZA, MODESTO</t>
  </si>
  <si>
    <t>ZUÑIGA TITO, CAROLINA</t>
  </si>
  <si>
    <t>PALOMINO DE RIVAS, EUGENIA</t>
  </si>
  <si>
    <t>CCOICCA VARGAS, DANIEL</t>
  </si>
  <si>
    <t>BORDA CHIPANA, YOLANDA</t>
  </si>
  <si>
    <t>PAREDES HUAYANA, MARIA</t>
  </si>
  <si>
    <t>HUAYANA POMA, FLORISA</t>
  </si>
  <si>
    <t>HUAYANA ROMAN, DAVID</t>
  </si>
  <si>
    <t>DAMIANO HUAYANA, TOMAS</t>
  </si>
  <si>
    <t>CASAFRANCA BAUTISTA, FLORISA JUANA</t>
  </si>
  <si>
    <t>OSCCO DE PALOMINO, TEODOSIA</t>
  </si>
  <si>
    <t>MENDOZA HUAYANA, MARIA CONCEPCION</t>
  </si>
  <si>
    <t>PALOMINO CCARHUAS, TEODOSIA</t>
  </si>
  <si>
    <t>ROMAN ZUÑIGA, EUDOSIA GREGORIA</t>
  </si>
  <si>
    <t>LUDEÑA LEGUIA, LEOCADIA</t>
  </si>
  <si>
    <t>ZUÑIGA HUAYANA, AIDY</t>
  </si>
  <si>
    <t>ZUÑIGA VILLANO, JUANA</t>
  </si>
  <si>
    <t>PALOMINO OSCCO, WILMAN</t>
  </si>
  <si>
    <t>ZUÑIGA RIVAS, FORTUNATA</t>
  </si>
  <si>
    <t>BAUTISTA HUAYANA, CANDELARIO</t>
  </si>
  <si>
    <t>CASAFRANCA MENDOZA, MONICA</t>
  </si>
  <si>
    <t>RODRIGUES OSCCO, EPIFANIA</t>
  </si>
  <si>
    <t>HURTADO SANCHES, LUCILA</t>
  </si>
  <si>
    <t>PEREZ DE QUIJANO, FLORA</t>
  </si>
  <si>
    <t>QUIJANO PEREZ, JUAN</t>
  </si>
  <si>
    <t>DAMIANO HUAYANA, PERPETUA</t>
  </si>
  <si>
    <t>PAREDES LEGUIA, ANDREA</t>
  </si>
  <si>
    <t>ANCCO QUIJANO, VIRGUILIO</t>
  </si>
  <si>
    <t>CASTILLO CCARHUAS, NILBA</t>
  </si>
  <si>
    <t>LEON DAMIANO, CEFERINA</t>
  </si>
  <si>
    <t>PAREDES HUAYANA, SEBASTIAN</t>
  </si>
  <si>
    <t>ZUÑIGA VILLANO, AURELIA</t>
  </si>
  <si>
    <t>CCOICCA VARGAS, VICTORIA</t>
  </si>
  <si>
    <t>GUZMAN RODRIGUEZ, MODESTA</t>
  </si>
  <si>
    <t>HUAMAN QUIJANO, ROSA</t>
  </si>
  <si>
    <t>DAMIANO HUAYANA, HERLINDA</t>
  </si>
  <si>
    <t>PACHECO DE RAMOS, VALERIANA</t>
  </si>
  <si>
    <t>GUZMAN POMA, JULIAN</t>
  </si>
  <si>
    <t>CCARHUAS ZUÑIGA, HERMENEGILDA</t>
  </si>
  <si>
    <t>ROJAS LEGUIA, ALEJANDRINA DIONICIA</t>
  </si>
  <si>
    <t>ZUÑIGA ASCUE, FRUCTUOSA</t>
  </si>
  <si>
    <t>CASAFRANCA VELASQUE, CIRILO</t>
  </si>
  <si>
    <t>DAMIANO ZUÑIGA, DARIA</t>
  </si>
  <si>
    <t>POMA DAMIANO, DELFINA</t>
  </si>
  <si>
    <t>MENDEZ NIEVES, CLAUDIO</t>
  </si>
  <si>
    <t>NAVARRO PALOMINO, LUZMILA</t>
  </si>
  <si>
    <t>GUZMAN DAMIANO, VIVIANA</t>
  </si>
  <si>
    <t>AÑANCA HUAYANA, VETMAVEL</t>
  </si>
  <si>
    <t>GUZMAN DAMIANO, BAILON</t>
  </si>
  <si>
    <t>ALTAMIRANO GUZMAN DE OSCCO, BENEDICTA</t>
  </si>
  <si>
    <t>DAMIANO LAURA, ISIDORA</t>
  </si>
  <si>
    <t>DE LA CRUZ LUDEÑA, ANGEL</t>
  </si>
  <si>
    <t>RODRIGUEZ SILVERA, JUAN DE DIOS</t>
  </si>
  <si>
    <t>RODRIGUEZ YANAHUILLCA, JOSE</t>
  </si>
  <si>
    <t>JUAN MELQUIADES, LAURA OSC</t>
  </si>
  <si>
    <t>PAULINA RIVAS, DE LAURA</t>
  </si>
  <si>
    <t>LAURA TITO, FELICITAS</t>
  </si>
  <si>
    <t>LEGUIA PAHUARA, APOLINARIA</t>
  </si>
  <si>
    <t>LAURA LEGUIA, JULIAN</t>
  </si>
  <si>
    <t>CARRASCO LEGUIA, GUILLERMO</t>
  </si>
  <si>
    <t>LEGUIA OSCCO, SELEDONIA</t>
  </si>
  <si>
    <t>RIVAS ALARCON, CARLOS GENARO</t>
  </si>
  <si>
    <t>HUAMAN OSCCO, PASCUAL</t>
  </si>
  <si>
    <t>SAMANEZ LAURA, FILIO</t>
  </si>
  <si>
    <t>YANAHUILLCA HUAMAN, CAYETANO</t>
  </si>
  <si>
    <t>GUZMAN OSCCO, ZONIA</t>
  </si>
  <si>
    <t>TITO CUADROS, PAULINA</t>
  </si>
  <si>
    <t>HURTADO LAURA, ALCIDES</t>
  </si>
  <si>
    <t>LAURA ALARCON, MAXIMILIANO</t>
  </si>
  <si>
    <t>QASQUES DE PALOMINO, MAXIMILIANA</t>
  </si>
  <si>
    <t>PEDRAZA CAÑARI, MERCEDES</t>
  </si>
  <si>
    <t>PALOMINO BULEJE, PINENA</t>
  </si>
  <si>
    <t>HUAMAN VASQUEZ, JUSTINA</t>
  </si>
  <si>
    <t>RAMOS RIVAS, GLORIA</t>
  </si>
  <si>
    <t>CACERES CAÑARI, DELIA</t>
  </si>
  <si>
    <t>CORDERO  DERAMOS, CARMEN ANTONIA</t>
  </si>
  <si>
    <t>NAVARRO LIMACHE, SOLEDAD</t>
  </si>
  <si>
    <t>NAVARRO CAÑARI, NICOLAS</t>
  </si>
  <si>
    <t>CORDOVA HUAMAN, CRISANTO</t>
  </si>
  <si>
    <t>VASQUEZ GUZMAN, VICTOR</t>
  </si>
  <si>
    <t>NABARRO LIMACHI, NATIVIDAD</t>
  </si>
  <si>
    <t>PALOMINO GUZMAN, TERESA</t>
  </si>
  <si>
    <t>PEDRASA CAÑARI, MARINA</t>
  </si>
  <si>
    <t>RIVAS POMA, RENE</t>
  </si>
  <si>
    <t>ZUÑIGA LAZO, CASIMIRO</t>
  </si>
  <si>
    <t>GUZMAN VASQUEZ, DINA</t>
  </si>
  <si>
    <t>VASQUEZ VILLANO, ADELA</t>
  </si>
  <si>
    <t>CAÑARI DE PAHUARA, GUADALUPE</t>
  </si>
  <si>
    <t>ORTIZ GUSMAN, DELIA</t>
  </si>
  <si>
    <t>ORTIZ DE NAVARRO, MARIA</t>
  </si>
  <si>
    <t>HUAMAN PALOMINO, EDITH</t>
  </si>
  <si>
    <t>PALOMINO HUAMAN, DAMASO</t>
  </si>
  <si>
    <t>CAÑARI VASQUEZ, FLORENTINA</t>
  </si>
  <si>
    <t>MESARES LARA, BENITO</t>
  </si>
  <si>
    <t>ALTAMIRANO PRADA, GONZALO</t>
  </si>
  <si>
    <t>ALTAMIRANO HUAMAN, VICTOR</t>
  </si>
  <si>
    <t>PEDRAZA VAZQUES, VICTOR CARLOS</t>
  </si>
  <si>
    <t>VAZQUES OSCCO, RICARDO</t>
  </si>
  <si>
    <t>RIVAS HURTADO, EPIFANIA</t>
  </si>
  <si>
    <t>HUAMAN GUZMAN, MARIO</t>
  </si>
  <si>
    <t>SANCHES CAÑARI, LIDA</t>
  </si>
  <si>
    <t>PALOMINO CAÑARI, TEODORA JUSTINA</t>
  </si>
  <si>
    <t>CAÑARI HUAMAN, MARIANO</t>
  </si>
  <si>
    <t>ALTAMIRANO LAURA, NORMA</t>
  </si>
  <si>
    <t>CUSI JUNCO, MAURO</t>
  </si>
  <si>
    <t>VASQUEZ GUZMAN, VILMA</t>
  </si>
  <si>
    <t>LOAYZA GUZMAN, CRISTINA</t>
  </si>
  <si>
    <t>ALTAMIRANO VASQUEZ, GONZALO</t>
  </si>
  <si>
    <t>HUAMAN DE CAÑARI, BENEDICTA</t>
  </si>
  <si>
    <t>RIVAS HURTADO, FILOMENA</t>
  </si>
  <si>
    <t>OMONTE CUSI, JOSE</t>
  </si>
  <si>
    <t>PALOMIMO CAÑARI, RUBEN</t>
  </si>
  <si>
    <t>ROMAN HUACHUHUILLCA, JAIME</t>
  </si>
  <si>
    <t>SILVERA MORALES, FELISECIMO</t>
  </si>
  <si>
    <t>CACERES DAMIANO, GERARDINA</t>
  </si>
  <si>
    <t>PALOMINO ARENAS, ANTONIA</t>
  </si>
  <si>
    <t>PALOMINO OMONTE, DINA</t>
  </si>
  <si>
    <t>LEGUIA ZUÑIGA, FLORA MARIA</t>
  </si>
  <si>
    <t>LEGUIA HURTADO, CEFERINA</t>
  </si>
  <si>
    <t>HURTADO ANCCO, EUGENIO</t>
  </si>
  <si>
    <t>AULLA QUISPE, HERMELINDA</t>
  </si>
  <si>
    <t>AULLA HUAMAN, ALEJANDRINA</t>
  </si>
  <si>
    <t>LAORA DE CUYA, FILOMENA</t>
  </si>
  <si>
    <t>VILA CORONADO, TEOFILO</t>
  </si>
  <si>
    <t>YANAHUAMAN GALLEGOS, ALEJANDRO</t>
  </si>
  <si>
    <t>HUAYANA ESPINOZA, JUDITH</t>
  </si>
  <si>
    <t>VIVANCO ALTAMIRANO, EDGAR</t>
  </si>
  <si>
    <t>LUDEÑA LEGUIA, JOSELITO</t>
  </si>
  <si>
    <t>ALARCON DE ZUÑIGA, FELICIANA</t>
  </si>
  <si>
    <t>RIVAS ALARCON, BALVINA</t>
  </si>
  <si>
    <t>HUAMAN MONDALGO, SILVERIO</t>
  </si>
  <si>
    <t>GUZMAN DE HURTADO, FLORA</t>
  </si>
  <si>
    <t>VIVANCO MUÑOZ, CONSTANTINA CLEOFE</t>
  </si>
  <si>
    <t>HUAYANA MESARES, EUSEBIO</t>
  </si>
  <si>
    <t>ALTAMIRANO PEDRAZA, NICANOR</t>
  </si>
  <si>
    <t>MORALES GONZALES, ELENO</t>
  </si>
  <si>
    <t>LEGUIA BULEJE, LUIS</t>
  </si>
  <si>
    <t>SILVERA LEGUIA, MARGARITA</t>
  </si>
  <si>
    <t>POMA CCARHUAS, SAUL VICENTE</t>
  </si>
  <si>
    <t>DAMIANO DE HUAYANA, LIDIA</t>
  </si>
  <si>
    <t>YANAHUAMAN GALLEGOS, PEDRO LEON</t>
  </si>
  <si>
    <t>PALOMINO CHIPAO, FIDELIA</t>
  </si>
  <si>
    <t>VILA RAMIREZ, MARIA</t>
  </si>
  <si>
    <t>SANCHEZ DAMIANO, ANGEL</t>
  </si>
  <si>
    <t>ARONI CEBRIAN, MARCELINO</t>
  </si>
  <si>
    <t>CENTENO MORALES, GLADYS</t>
  </si>
  <si>
    <t>LEGUIA GUZMAN, AGAPITO</t>
  </si>
  <si>
    <t>MORALES GONZALES, ESTHER</t>
  </si>
  <si>
    <t>RODRIGUEZ LEGUIA, MOISES</t>
  </si>
  <si>
    <t>FLORES DE ACEBIDO, MODESTA</t>
  </si>
  <si>
    <t>CENTENO MORALES, WALTER RAUL</t>
  </si>
  <si>
    <t>SANCHEZ DAMIANO, INOCENTA</t>
  </si>
  <si>
    <t>BULEJE ARONI, GERARDO</t>
  </si>
  <si>
    <t>BULEJE CCOICCA, JUAN MAURO</t>
  </si>
  <si>
    <t>BULEJE LEGUIA, ZARAGOSA</t>
  </si>
  <si>
    <t>BULEJE CACERES, SANTOS LUCAS</t>
  </si>
  <si>
    <t>LEGUIA DE BULEJE, PAULINA</t>
  </si>
  <si>
    <t>AULLA GUZMAN, RICARDO</t>
  </si>
  <si>
    <t>CACERES LUDEÑA, LAZARO MELQUIADES</t>
  </si>
  <si>
    <t>CACERES LEGUIA, AUGUSTO</t>
  </si>
  <si>
    <t>LUDEÑA ASCOY, PEDRO</t>
  </si>
  <si>
    <t>BULEJE LUDEÑA, RICARDO</t>
  </si>
  <si>
    <t>QUISPE NAVEROS, ALEJANDRINA</t>
  </si>
  <si>
    <t>SANCHEZ PALOMINO, FAUSTINO</t>
  </si>
  <si>
    <t>SILVERA MORALES, MARCIANO</t>
  </si>
  <si>
    <t>GUZMAN OMONTE, ALBERTO</t>
  </si>
  <si>
    <t>ARONI GUZMAN, SANTOS</t>
  </si>
  <si>
    <t>LEGUIA DE RODRIGUEZ, GEORGINA</t>
  </si>
  <si>
    <t>CACERES PEREZ, JUAN</t>
  </si>
  <si>
    <t>CACERES PEREZ, BASILIA</t>
  </si>
  <si>
    <t>HUAMAN JIMENEZ, DELINDA MAGDALENA</t>
  </si>
  <si>
    <t>ARONI CHIPAO, JUAN</t>
  </si>
  <si>
    <t>BULEJE GUZMAN, MARUJA</t>
  </si>
  <si>
    <t>DAMIANO LEGUIA, NANCY</t>
  </si>
  <si>
    <t>MORALES LEGUIA, MARIA CONCEPCION</t>
  </si>
  <si>
    <t>DAMIANO DE LUDEÑA, ANATOLIA</t>
  </si>
  <si>
    <t>RODRIGUEZ LEGUIA, EUSEBIO</t>
  </si>
  <si>
    <t>DAMIANO MORALES, ROSA</t>
  </si>
  <si>
    <t>BULEJE MORALES, ERNESTO</t>
  </si>
  <si>
    <t>BULEJE SILVERA, EDGAR</t>
  </si>
  <si>
    <t>LEGUIA DE MORALES, CONCEPCION</t>
  </si>
  <si>
    <t>BULEJE MORALES, JUAN DE DIOS</t>
  </si>
  <si>
    <t>QUISPE GUZMAN, ALEJANDRINA</t>
  </si>
  <si>
    <t>BULEJE LEGUIA, MARCELINA</t>
  </si>
  <si>
    <t>ZUÑIGA VASQUEZ, ANTONIO</t>
  </si>
  <si>
    <t>VASQUEZ DE QUISPE, CONCEPCION GLORIA</t>
  </si>
  <si>
    <t>TORRIN LAURA, NEIDA</t>
  </si>
  <si>
    <t>LAZO PALOMINO, PRUDENCIA</t>
  </si>
  <si>
    <t>CCOICCA CHOCCE, BLANCA</t>
  </si>
  <si>
    <t>CHOQQUE OSCCO, LOT MELQUESIDEC</t>
  </si>
  <si>
    <t>TORRIN LAURA, EDWIN</t>
  </si>
  <si>
    <t>LUDEÑA LEGUIA, FELICITAS</t>
  </si>
  <si>
    <t>RODRIGUEZ CCARHUAS, EPIFANIO</t>
  </si>
  <si>
    <t>ALARCON SANEZ, JOSE</t>
  </si>
  <si>
    <t>TORRIN LAURA, VILMA</t>
  </si>
  <si>
    <t>ALTAMIRANO CARDENAS, NATIVIDAD</t>
  </si>
  <si>
    <t>HUAMAN NIEVE, EDUARDO</t>
  </si>
  <si>
    <t>DAMIANO VARGAS, GREGORIO</t>
  </si>
  <si>
    <t>ZUÑIGA RIVAS, JOSE LUIS FORTUNATO</t>
  </si>
  <si>
    <t>CACERES DAMIANO, PEDRO</t>
  </si>
  <si>
    <t>LEGUIA POMA, SILVIO ROMUALDO</t>
  </si>
  <si>
    <t>ANCCO DAMIANO, EDWIN</t>
  </si>
  <si>
    <t>LEGUIA POMA, HILARIO</t>
  </si>
  <si>
    <t>VELASQUE HUACHUHUILLCA, SABINO</t>
  </si>
  <si>
    <t>ALTAMIRANO VDA DE SILVA, EUSEBIA</t>
  </si>
  <si>
    <t>ROJAS MAYTAN, PRIMITIVO</t>
  </si>
  <si>
    <t>GUTIERREZ POMA, ELSA</t>
  </si>
  <si>
    <t>ASCUE DE DAMIANO, VALENTINA</t>
  </si>
  <si>
    <t>DAMIANO ASCUE, ISAIAS</t>
  </si>
  <si>
    <t>LEGUIA TORRES, ANDRES</t>
  </si>
  <si>
    <t>LEGUIA ZUÑIGA, MARCIANO</t>
  </si>
  <si>
    <t>VELASQUE DE POMA, EMILIA</t>
  </si>
  <si>
    <t>ANCCO RODRIGUEZ, GREGORIO</t>
  </si>
  <si>
    <t>MACHACCA CHOQUEHUANCA, PAULINO</t>
  </si>
  <si>
    <t>PAMPACHIRI</t>
  </si>
  <si>
    <t>NANCY SOTELO, TICONA</t>
  </si>
  <si>
    <t>RODRIGUEZ TELLO, SIXTA ELVIRA</t>
  </si>
  <si>
    <t>CHIPANA BUITRON, ANGEL CIRILO</t>
  </si>
  <si>
    <t>ANCA BELLIDO, SANTIAGO</t>
  </si>
  <si>
    <t>HUAMAN GONZALEZ, MARIO ANG</t>
  </si>
  <si>
    <t>NECOCHEA HERNANDEZ, THELMA LUZ</t>
  </si>
  <si>
    <t>MASCO GUTIERREZ, ELIZABETH</t>
  </si>
  <si>
    <t>VARGAS OSORIO, MARIA</t>
  </si>
  <si>
    <t>CCARHUAS LAUPA, YRENE</t>
  </si>
  <si>
    <t>CHIPANA MENDOSA, JOSE</t>
  </si>
  <si>
    <t>PABON SOTELO, MARIA</t>
  </si>
  <si>
    <t>BUITRON DE CORDOVA, ROSA</t>
  </si>
  <si>
    <t>BARRAZA LIMASCCA, ADELA</t>
  </si>
  <si>
    <t>BUITRON ASPILCUETA, VICTORIA DIONICIA</t>
  </si>
  <si>
    <t>CAPCHA CHIPANA, LUCIO</t>
  </si>
  <si>
    <t>LLACCHUA SIVIPAUCAR, MARIA ROSA</t>
  </si>
  <si>
    <t>TELLO CCECCAÑA, LUCY</t>
  </si>
  <si>
    <t>SOTELO CCOPA, HERLINDA</t>
  </si>
  <si>
    <t>MAYO CCARHUAS, ELSA</t>
  </si>
  <si>
    <t>HUAMANI JAUREGUI, CONSTANTINO</t>
  </si>
  <si>
    <t>ALTAMIRANO DE CARASCO, MERCEDES</t>
  </si>
  <si>
    <t>LLACCHUA SIVIPAUCAR, ROSA MARIA</t>
  </si>
  <si>
    <t>ANCA LAUPA, SEBASTIAN</t>
  </si>
  <si>
    <t>CCACCYA CCAPCHA, VIOLETA</t>
  </si>
  <si>
    <t>CASTILLO HERNANDES, LUCY</t>
  </si>
  <si>
    <t>ASTOHUILLCA RIVERA, AQUILES</t>
  </si>
  <si>
    <t>SOTELO VDA DE HERNANDEZ, SUSANA</t>
  </si>
  <si>
    <t>CHIPANA DE MOLINA, LUCIA</t>
  </si>
  <si>
    <t>MENDOZA HUAYHUAS, JERONIMO</t>
  </si>
  <si>
    <t>MOLINA ARONE, HERLINDA</t>
  </si>
  <si>
    <t>CALLE FLORES, YSIDORA</t>
  </si>
  <si>
    <t>ALARCON DE LOAYZA, LOURDES</t>
  </si>
  <si>
    <t>MANCHEGO BARRIENTOS, MARIELA</t>
  </si>
  <si>
    <t>CCACCYA ILLAHUAMAN, SAMUEL</t>
  </si>
  <si>
    <t>TORRES CHIPANA, BENITO</t>
  </si>
  <si>
    <t>LLACCHUA CARDENAS, MOICES</t>
  </si>
  <si>
    <t>TEJEDA CHUQUIMAJO, NANCI</t>
  </si>
  <si>
    <t>TEJEDA SOTELO, ANCELMO</t>
  </si>
  <si>
    <t>LAUPA CALDERON, GABINO MARCELO</t>
  </si>
  <si>
    <t>SOTELO CCECCAÑA, DORIS</t>
  </si>
  <si>
    <t>CHIPANA LLACCHUA, VALENTIN</t>
  </si>
  <si>
    <t>LLACCHUA GONZALES, DANIEL</t>
  </si>
  <si>
    <t>ANCHAYHUA PARIONA, ZENOBIA</t>
  </si>
  <si>
    <t>FLORES CHOQUE, FELIX</t>
  </si>
  <si>
    <t>MORAN CAMACHO, ABELINA RAMOSA</t>
  </si>
  <si>
    <t>CHIPANA NAVARRO, CLEOFE</t>
  </si>
  <si>
    <t>ANCA LAUPA, DINO</t>
  </si>
  <si>
    <t>SAUÑE MEDINA, JUAQUINA</t>
  </si>
  <si>
    <t>RIVAS CERON, WALBERTO</t>
  </si>
  <si>
    <t>HUAIHUAS HUAMANI, GUENOVEVA</t>
  </si>
  <si>
    <t>MESA ATIQUIPA, NATIVIDAD</t>
  </si>
  <si>
    <t>SOTELO BUITRON, CEFERINA</t>
  </si>
  <si>
    <t>QUISPE AGUILAR, LUIZA</t>
  </si>
  <si>
    <t>ANCA CCARHUAS, MARIA</t>
  </si>
  <si>
    <t>BUITRON ASPILCUETA, FORTUNATA</t>
  </si>
  <si>
    <t>SOTELO CCOPA, DIONY</t>
  </si>
  <si>
    <t>ORTIZ SOTELO, DINA</t>
  </si>
  <si>
    <t>BUITRON ASPILCUETA, NICOLASA</t>
  </si>
  <si>
    <t>AGUILAR CCACCYA, GLADIS</t>
  </si>
  <si>
    <t>CHUQUIMAJO QUILLCA, BIBIANA</t>
  </si>
  <si>
    <t>CHIPANA HUAMANI, JOAQUINA JULIA</t>
  </si>
  <si>
    <t>HUANCA QUISPE, GUILLERMO</t>
  </si>
  <si>
    <t>ASTOHUILLCA DE RODRIGUES, ANASTACIO</t>
  </si>
  <si>
    <t>CHUQUIMAJO VARGAS, JUVITA</t>
  </si>
  <si>
    <t>QUISPE AGUILAR, CLADIS</t>
  </si>
  <si>
    <t>CARHUAS FLORES, GREGORIO</t>
  </si>
  <si>
    <t>CARHUAS SOTELO, REYNA</t>
  </si>
  <si>
    <t>HUAMANI TORRES, ELIZABETH</t>
  </si>
  <si>
    <t>HUAMAN TORRES, SONIA</t>
  </si>
  <si>
    <t>HUAMANI CASTRO, ADRIAN</t>
  </si>
  <si>
    <t>BUETRON DE LA FLOR, PAULINA</t>
  </si>
  <si>
    <t>QUILLCA BARAZORDA, VICTOR A</t>
  </si>
  <si>
    <t>BUITRON CACERES, DANHTE</t>
  </si>
  <si>
    <t>CHUQUIHUAMANI HUAMANI, MARIA</t>
  </si>
  <si>
    <t>HUAMANI CCAPCHA, MODESTA</t>
  </si>
  <si>
    <t>LAUPA VARGAS, EVE ELVIRA</t>
  </si>
  <si>
    <t>CHUQUIHUAMANI HUAMANI, YOLANDA</t>
  </si>
  <si>
    <t>CARHUAS LAUPA, JAIME</t>
  </si>
  <si>
    <t>LAUPA CCACCYA, HILARIO CEFERINO</t>
  </si>
  <si>
    <t>CCARHUAS HUAYHUAS, EUGENIA</t>
  </si>
  <si>
    <t>TORRES OSORIO, EDUARDO</t>
  </si>
  <si>
    <t>PARIONA CHAMPE, LUZ MARINA</t>
  </si>
  <si>
    <t>LAUPA BUITRON, ELEZAR DELFINA</t>
  </si>
  <si>
    <t>ANCA LAZO, LUIS RICARDO</t>
  </si>
  <si>
    <t>AIQUIPA LAUPA, AMILCAR</t>
  </si>
  <si>
    <t>HUAMANI SOTELO, ELENA</t>
  </si>
  <si>
    <t>SAN PEDRO DE LARCAY</t>
  </si>
  <si>
    <t>RODAS HUAMANI, SIMEON</t>
  </si>
  <si>
    <t>RODAS BARRIENTOS, HIPOLITA CECILIA</t>
  </si>
  <si>
    <t>SOTELO HUAMANI, LOURDES</t>
  </si>
  <si>
    <t>TAIPE PALOMINO, DINA</t>
  </si>
  <si>
    <t>SOTELO TINCO, BELTRAN</t>
  </si>
  <si>
    <t>CARHUAS DE TACURI, LUISA</t>
  </si>
  <si>
    <t>HUAMANI CASTRO, MAGDALENA</t>
  </si>
  <si>
    <t>CHIPANA HUAYHUAS, OLGA</t>
  </si>
  <si>
    <t>LAYME CCOPA, TITO GUARINO</t>
  </si>
  <si>
    <t>HUAYHUAS TORRES, TULIO</t>
  </si>
  <si>
    <t>HUAYHUAS DE RODAS, PAULINA</t>
  </si>
  <si>
    <t>CCOPA CHIPANA, BONIFACIO</t>
  </si>
  <si>
    <t>ENCISO ENCISO, ALEX SAMUEL</t>
  </si>
  <si>
    <t>HUAYHUAS ENCISO, FLORENCIA</t>
  </si>
  <si>
    <t>ENCISO RODAS, JOSE JESUS</t>
  </si>
  <si>
    <t>PRADA ARISTO, LUCIO</t>
  </si>
  <si>
    <t>CHIPANA DE ANTAY, GENOVEVA</t>
  </si>
  <si>
    <t>ANTAY LAYME, ANGEL</t>
  </si>
  <si>
    <t>ANCA HUAYHUAS, LEOPOLDO ROMEO</t>
  </si>
  <si>
    <t>ANTAY RODAS, JOSE LUIS</t>
  </si>
  <si>
    <t>ENCISO HUAYHUAS, SAMUEL</t>
  </si>
  <si>
    <t>HUAYHUAS HUAYGUAS, SANTA BEATRIZ</t>
  </si>
  <si>
    <t>ANTAY HUAYHUAS, FABIANA</t>
  </si>
  <si>
    <t>FLORES HUAYHUAS, MARIA MAGDALENA</t>
  </si>
  <si>
    <t>ENCISO ENCISO, VICTOR FRANCISCO</t>
  </si>
  <si>
    <t>ANTAY RODAS, MELANIA CRESELIA</t>
  </si>
  <si>
    <t>ENCISO ANTAY, ELISEO</t>
  </si>
  <si>
    <t>HUAYHUAS SOTELO, CARMEN</t>
  </si>
  <si>
    <t>ENCISO HUAYHUAS, ANASTACIA</t>
  </si>
  <si>
    <t>QUISPE CCACCYA, CALISTA</t>
  </si>
  <si>
    <t>QUISPE CCACCYA, SILVESTRA</t>
  </si>
  <si>
    <t>ENCISO ANTAY, SANTOS</t>
  </si>
  <si>
    <t>ASTOQUILLCA DE UTANI, EPIFANIA</t>
  </si>
  <si>
    <t>ANCA ANTAY, NORMA MODESTA</t>
  </si>
  <si>
    <t>ANCA ANTAY, DINA</t>
  </si>
  <si>
    <t>HUACHUHUILLCA BAUTISTA, RUFINA</t>
  </si>
  <si>
    <t>RODAS DE SANTARIA, DELFINA</t>
  </si>
  <si>
    <t>CCOPA DE CCACCYA, LUCILA</t>
  </si>
  <si>
    <t>ANTAY CCACCYA, LIZANDRO</t>
  </si>
  <si>
    <t>CHIPANA CCOPA, VICTOR</t>
  </si>
  <si>
    <t>RODAS VDA DE QUISPE, FELICIANA</t>
  </si>
  <si>
    <t>CHIPANA UTANI, ELIZABETH</t>
  </si>
  <si>
    <t>CHIPANA DE ANTAY, MARIA</t>
  </si>
  <si>
    <t>ENCISO CCACCYA, LUCIA</t>
  </si>
  <si>
    <t>TACURI ENCISO, PEDRO PABLO</t>
  </si>
  <si>
    <t>CHIPANA RODAS, YANETT</t>
  </si>
  <si>
    <t>LAUPA CHIPANA, YOLANDA</t>
  </si>
  <si>
    <t>ENCISO CHIPANA, ROSA</t>
  </si>
  <si>
    <t>QUISPE ANTAY, ALBERTO</t>
  </si>
  <si>
    <t>RODAS ANTAY, NELSON FLORENTINO</t>
  </si>
  <si>
    <t>CCOPA CHIPANA, ROMULO JUAN</t>
  </si>
  <si>
    <t>CCOPA CCECCAÑA, SANTOS LINO</t>
  </si>
  <si>
    <t>ANTAY CCOPA, MARIA</t>
  </si>
  <si>
    <t>HUAYHUAS SOTELO, SATURNINA</t>
  </si>
  <si>
    <t>CCASANI LAYME, EDILBERTO</t>
  </si>
  <si>
    <t>ENCISO DE UTANI, AGUSTINA</t>
  </si>
  <si>
    <t>CCACCYA CCOPA, ANA LUCIA</t>
  </si>
  <si>
    <t>LAUPA CHIPANA, NELY</t>
  </si>
  <si>
    <t>FLORES CCACCYA, YERSON</t>
  </si>
  <si>
    <t>SAN MIGUEL DE CHACCRAMPA</t>
  </si>
  <si>
    <t>FLORES CCACCYA, GILDO</t>
  </si>
  <si>
    <t>LAYME CHIPANA, BASILIA</t>
  </si>
  <si>
    <t>CCACCYA ENCISO, CECILIA</t>
  </si>
  <si>
    <t>GONZALES MALLMA, JUVENAL</t>
  </si>
  <si>
    <t>RODRIGUEZ CARHUAS, LEONCIO</t>
  </si>
  <si>
    <t>CCOPA ANTAY, NINFA</t>
  </si>
  <si>
    <t>CCASANI ENCISO, AGUSTIN</t>
  </si>
  <si>
    <t>HUAYANA</t>
  </si>
  <si>
    <t>HERRERA TAIPE, LEONARDO</t>
  </si>
  <si>
    <t>VILLANO VASQUEZ, ALEJANDRINA</t>
  </si>
  <si>
    <t>PAREJA UBAQUI, EMILIA</t>
  </si>
  <si>
    <t>UBAQUE URPE, CLOTILDE</t>
  </si>
  <si>
    <t>CALDERON FLORES, MAXIMO</t>
  </si>
  <si>
    <t>MOSCOSO CONDORI, JUANA</t>
  </si>
  <si>
    <t>CONDORI MOSCOSO, CANDIDA EDY</t>
  </si>
  <si>
    <t>FLORES CCACCYA, MILUSCA</t>
  </si>
  <si>
    <t>PAREJA DE ALFARO, ALVINA</t>
  </si>
  <si>
    <t>PAREJA DE FLORES, LEONOR</t>
  </si>
  <si>
    <t>PAREJA CCOICCA, GREGORIO</t>
  </si>
  <si>
    <t>VENEGAS CCOPA, OLGA</t>
  </si>
  <si>
    <t>CCOYCCA CALDERON, OLINDA</t>
  </si>
  <si>
    <t>CHIPANA OVIEDO, ERIKA</t>
  </si>
  <si>
    <t>QUISPE ALFARO, JUANA</t>
  </si>
  <si>
    <t>GUTIERREZ TAIPE, MARILUZ</t>
  </si>
  <si>
    <t>CACERES DE CCOYCCA, GREGORIA</t>
  </si>
  <si>
    <t>DURAND VAGAS, DELFINA</t>
  </si>
  <si>
    <t>MOSCOSO UNTON, DONATO</t>
  </si>
  <si>
    <t>ALHUAY DE TORRE, TOMASA</t>
  </si>
  <si>
    <t>CCACCYA CCOPA, LUSMILA</t>
  </si>
  <si>
    <t>URPE ROMERO, LEOCADIA</t>
  </si>
  <si>
    <t>ROJAS URPE, RUTILDE</t>
  </si>
  <si>
    <t>MORAN MOSCOSO, HILARIO</t>
  </si>
  <si>
    <t>VEGA PACASI, SURAYDA</t>
  </si>
  <si>
    <t>ALHUAY DE CARRASCO, GERMANIA</t>
  </si>
  <si>
    <t>MOSCOSO UNTON, JUANA</t>
  </si>
  <si>
    <t>PAREJA URPI, DINA</t>
  </si>
  <si>
    <t>FLORES DE CACERES, SUSANA</t>
  </si>
  <si>
    <t>CALDERON MAYHUIRI, VENTURANA</t>
  </si>
  <si>
    <t>TAIPE GUTIERREZ, JUANA</t>
  </si>
  <si>
    <t>HUALLCAPUMA AIQUIPA, DELIA</t>
  </si>
  <si>
    <t>ALHUAY DE FLORES, ARSENIA</t>
  </si>
  <si>
    <t>HUAMANI HUAMACCTO, MARTA</t>
  </si>
  <si>
    <t>MORAN MOSCOSO, ELEUTERIA</t>
  </si>
  <si>
    <t>FLORES SIVIPAUCAR, VIOLETA</t>
  </si>
  <si>
    <t>CHIPANA UÑAUPE, ALEJANDRO</t>
  </si>
  <si>
    <t>TORRES TAIPE, MARIA MADELEYNE</t>
  </si>
  <si>
    <t>AYQUIPA VENEGAS, AGUSTIN PELAYO</t>
  </si>
  <si>
    <t>VARGAS DE ROMANI, VICTORIA</t>
  </si>
  <si>
    <t>ROMANI VARGAS, FELICITAS</t>
  </si>
  <si>
    <t>FLORES HUAMANI, DANTE</t>
  </si>
  <si>
    <t>HUAMANI DE CHIPANA, NATIVIDAD</t>
  </si>
  <si>
    <t>VENEGAS SIVIPAUCAR, ANA MARIA</t>
  </si>
  <si>
    <t>AIQUIPA HUILLCAPUMA, WALTER</t>
  </si>
  <si>
    <t>FLORES TAIPE, VICTOR</t>
  </si>
  <si>
    <t>GOMEZ AIQUIPA, EMILIANO</t>
  </si>
  <si>
    <t>CACERES VARGAS, SANTOS FLORENCIO</t>
  </si>
  <si>
    <t>HUAYHUAS YLLAHUAMAN, SANTOS GUILLERMO</t>
  </si>
  <si>
    <t>SILVERA HUAYHUAS, INES EULOGIA</t>
  </si>
  <si>
    <t>SILVERA AIQUIPA, MABEL</t>
  </si>
  <si>
    <t>TUMAY HUARACA</t>
  </si>
  <si>
    <t>GOMEZ TAIPE, CIRILO SEGUNDO</t>
  </si>
  <si>
    <t>AYQUIPA ANCA, EUSEBIA</t>
  </si>
  <si>
    <t>TAIPE ASTOQUILLCA, TEOFILO JUSTO</t>
  </si>
  <si>
    <t>SOTELO CHICLLA, ATILIO</t>
  </si>
  <si>
    <t>VARGAS CHIPANA, TEODOSIO</t>
  </si>
  <si>
    <t>OSORIO VENEGAS, CRISOSTOMO</t>
  </si>
  <si>
    <t>AIQUIPA GOMEZ, BERTHA</t>
  </si>
  <si>
    <t>HUILLCAPUMA RAMIREZ, PERCY</t>
  </si>
  <si>
    <t>HUILLCAPUMA MITMA, FORTUNATO</t>
  </si>
  <si>
    <t>UÑAUPE VENEGAS, JUSTINO SANTIAGO</t>
  </si>
  <si>
    <t>VENEGAS SIVIPAUCAR, EVER JULIO</t>
  </si>
  <si>
    <t>TAIPE SIVIPAUCAR, ISABEL</t>
  </si>
  <si>
    <t>GOMEZ AIQUIPA, EMILIANO YNQUISIDOR</t>
  </si>
  <si>
    <t>AIQUIPA TAIPE, ESTANISLAO</t>
  </si>
  <si>
    <t>TAIPE PARDO, ANTONIO PADUA</t>
  </si>
  <si>
    <t>HERNANDEZ VARGAS, NELLY FERNANDINA</t>
  </si>
  <si>
    <t>TORRES ANDRADE, SANTOS</t>
  </si>
  <si>
    <t>TORRE TAYPE, EDI RAYMUNDO</t>
  </si>
  <si>
    <t>TAIPE PEREZ, SEFERINO</t>
  </si>
  <si>
    <t>SIVIPAUCAR LAPAHUAMAN, PABLO</t>
  </si>
  <si>
    <t>TAIPE GONZALES, ESTANISLAO</t>
  </si>
  <si>
    <t>CHIPANA SIVIPAUCAR, CONCEPCION</t>
  </si>
  <si>
    <t>FLORES AIQUIPA, PELAGIO SATURNINO</t>
  </si>
  <si>
    <t>TAIPE AIQUIPA, VICTORIA</t>
  </si>
  <si>
    <t>SIVIPAUCAR HUAMANI, ESPIRITA CLEOFE</t>
  </si>
  <si>
    <t>SIVIPAUCAR TAIPE, DAMIAN</t>
  </si>
  <si>
    <t>ARENAZA DE PARDO, LEOCADIA</t>
  </si>
  <si>
    <t>FLORES AIQUIPA, HONORATO</t>
  </si>
  <si>
    <t>VENEGAS LAUPA, GLADIS</t>
  </si>
  <si>
    <t>DIAZ VARGAS, ANTONIO</t>
  </si>
  <si>
    <t>CCACCYA SIVIPAUCAR, VALENTIN GERMAN</t>
  </si>
  <si>
    <t>CHIPANA GOMEZ, LOURDEZ</t>
  </si>
  <si>
    <t>AIQUIPA CORONEL, LUCIANO</t>
  </si>
  <si>
    <t>MITMA BERROCAL, JORGE DAVID</t>
  </si>
  <si>
    <t>ROMANI VARGAS, JUSTINA</t>
  </si>
  <si>
    <t>AIQUIPA SILVERA, GUILLERMO</t>
  </si>
  <si>
    <t>TORRES SALAZAR, SALOMON</t>
  </si>
  <si>
    <t>QUISPE UÑAUPE, FAUSTINO</t>
  </si>
  <si>
    <t>AIQUIPA SIVIPAUCAR, ARMANDO</t>
  </si>
  <si>
    <t>AYQUIPA VENEGAS, GUILLERMO</t>
  </si>
  <si>
    <t>TAIPE HUAMAN, FRANCISCO VICENTE</t>
  </si>
  <si>
    <t>PARDO SILVERA, EULALIA</t>
  </si>
  <si>
    <t>ROMANI VARGAS, DARIO</t>
  </si>
  <si>
    <t>HUILLCAPUMA ROMANI, VIRGINIA</t>
  </si>
  <si>
    <t>RAMIREZ SALAS, HUGO JACINTO</t>
  </si>
  <si>
    <t>SALAZAR CHIPANA, ERMINIA</t>
  </si>
  <si>
    <t>ANCA DE ROMANI, EULALIA</t>
  </si>
  <si>
    <t>SIVIPAUCAR MITMA, ATILIO</t>
  </si>
  <si>
    <t>FLORES HUAMANI, VICENTE</t>
  </si>
  <si>
    <t>FLORES TAIPE, BIATRIZ</t>
  </si>
  <si>
    <t>CHICLLA SIVIPAUCAR, CESAR</t>
  </si>
  <si>
    <t>UÑAUPE HUAMANI, VICTOR RUFINO</t>
  </si>
  <si>
    <t>ACHA JAUREGUI, CIRILO</t>
  </si>
  <si>
    <t>CHIPANA SALAZAR, GUILLERMO</t>
  </si>
  <si>
    <t>SALAZAR CARRASCO, PABLO RAMON</t>
  </si>
  <si>
    <t>ROMANI AIQUIPA, AURIA</t>
  </si>
  <si>
    <t>CHIPANA SIVIPAUCAR, EVER PIO</t>
  </si>
  <si>
    <t>ROMANI CASANCA, VICTORIANO</t>
  </si>
  <si>
    <t>SIVIPAUCAR TORRES, TELESFORO</t>
  </si>
  <si>
    <t>CHIPANA ACHA, ANGELES</t>
  </si>
  <si>
    <t>CHIPANA HUAMANI, DIONISIO</t>
  </si>
  <si>
    <t>CHIPANA GOMEZ, WALTER</t>
  </si>
  <si>
    <t>CHIPANA DE LAUPA, FAUSTINA</t>
  </si>
  <si>
    <t>SIVIPAUCAR MITMA, EDGAY</t>
  </si>
  <si>
    <t>SIVIPAUCAR CORONEL, JUAN DE DIOS</t>
  </si>
  <si>
    <t>TORRES SILVERA, RUBEN</t>
  </si>
  <si>
    <t>FLORES SIVIPAUCAR, AYDEE</t>
  </si>
  <si>
    <t>FLORES VENEGAS, ARTEMIO FELIX</t>
  </si>
  <si>
    <t>ROMANI TORRES, TOMASA</t>
  </si>
  <si>
    <t>AIQUIPA TORRE, CESAR GODOFREDO</t>
  </si>
  <si>
    <t>VARGAS DIAZ, GABRIEL</t>
  </si>
  <si>
    <t>GOMEZ HUAMANI, VICENTE</t>
  </si>
  <si>
    <t>AIQUIPA HUAMANI, MARIANO</t>
  </si>
  <si>
    <t>VARGAS HUILLCAPUMA, ROBERTO</t>
  </si>
  <si>
    <t>HUAMANI TAIPE, NANCY</t>
  </si>
  <si>
    <t>MIRANDA GOMEZ, BARTOLOME</t>
  </si>
  <si>
    <t>TAIPE AIQUIPA, JUAN CLIMACO</t>
  </si>
  <si>
    <t>HUAYHUAS TAIPE, AQUILINO</t>
  </si>
  <si>
    <t>CHICLLA AYQUIPA, NICOLAS FELIX</t>
  </si>
  <si>
    <t>TAIPE SIVIPAUCAR, LUZMILA</t>
  </si>
  <si>
    <t>HUILLCAPUMA ANCA, ALFREDO DAVID</t>
  </si>
  <si>
    <t>TAYPE AYQUIPA, MADONIO NICOLAS</t>
  </si>
  <si>
    <t>HUILLCAPUMA RAMIREZ, YONY</t>
  </si>
  <si>
    <t>AIQUIPA GOMEZ, YOLANDA SIMONA</t>
  </si>
  <si>
    <t>VARGAS SIVIPAUCAR, CIRILO</t>
  </si>
  <si>
    <t>TAIPE HUAMANI, LORENZO</t>
  </si>
  <si>
    <t>TAIPE SILVERA, PASCUAL HECTOR</t>
  </si>
  <si>
    <t>AIQUIPA SALAZAR, PRESENTACION PABLO</t>
  </si>
  <si>
    <t>SILVERA CORONEL, MARTIN</t>
  </si>
  <si>
    <t>GONZALES HUAMANI, CIRO</t>
  </si>
  <si>
    <t>SILVERA AIQUIPA, EDGAR</t>
  </si>
  <si>
    <t>ASTOQUILLCA SIVIPAUCAR, GABRIEL CIRILO</t>
  </si>
  <si>
    <t>VARGAS CARDENAS, NESTOR MODESTO</t>
  </si>
  <si>
    <t>TORRES CCECCAÑA, CELSA</t>
  </si>
  <si>
    <t>TAIPE SIVIPAUCAR, LUCIA</t>
  </si>
  <si>
    <t>AIQUIPA HUILLCAPUMA, SILVIA</t>
  </si>
  <si>
    <t>YLLAHUAMAN AIQUIPA, ANTONIA VICTORIA</t>
  </si>
  <si>
    <t>CCAPCHA QUISPE, LOURDIO</t>
  </si>
  <si>
    <t>CCECCAÑA SIVIPAUCAR, VICENTE</t>
  </si>
  <si>
    <t>TAIPE SIVIPAUCAR, SONIA</t>
  </si>
  <si>
    <t>AIQUIPA CCECCAÑA, GREGORIA</t>
  </si>
  <si>
    <t>CCOPA SIVIPAUCAR, NIMESIA</t>
  </si>
  <si>
    <t>HUILLCAPUMA ANCA, GLADYS</t>
  </si>
  <si>
    <t>HUILLCAPUMA SILVERA, DAMASIO</t>
  </si>
  <si>
    <t>CCAPCHA AQUINO, ABRAHAM</t>
  </si>
  <si>
    <t>CCECCAÑA SIVIPAUCAR, SANTA MARTHA</t>
  </si>
  <si>
    <t>TAIPE SIVIPAUCAR, FREDY</t>
  </si>
  <si>
    <t>ROMANI TAIPE, FLORA</t>
  </si>
  <si>
    <t>CHAVEZ GONZALES, ANGELICA</t>
  </si>
  <si>
    <t>DURAN PUMALLANQUI, FLORENTINO</t>
  </si>
  <si>
    <t>AIQUIPA CHIPANA, GLADYS</t>
  </si>
  <si>
    <t>SANCHEZ GALINDO, LUCILA</t>
  </si>
  <si>
    <t>RIVAS ARONE VDA DE BARRAZA, JUANA</t>
  </si>
  <si>
    <t>PARIONA HUAMANI, AMBROSIO FIDEL</t>
  </si>
  <si>
    <t>LUJAN RIVAS, INES SALOME</t>
  </si>
  <si>
    <t>CANO DE BARRAZA, PLACIDA</t>
  </si>
  <si>
    <t>HINOSTROZA PALOMINO DE HUAMANI, OTILIA</t>
  </si>
  <si>
    <t>RIVAS DE HUAMANI, JOSEFA</t>
  </si>
  <si>
    <t>ATIQUIPA MUNAYLLA, CIRILA</t>
  </si>
  <si>
    <t>BARRAZA ARENAZA, JUAN</t>
  </si>
  <si>
    <t>POMA ORTIZ, FLORENTINA</t>
  </si>
  <si>
    <t>CASTILLO CASTILLO, PRIMITIVO</t>
  </si>
  <si>
    <t>RIVERA DE LA CRUZ, ELEONORA</t>
  </si>
  <si>
    <t>ARONE CARDOSO, MAXIMO</t>
  </si>
  <si>
    <t>BARRAZA CANO, FELICITAS BEATRIZ</t>
  </si>
  <si>
    <t>RODRIGUEZ DE BARRAZA, EUSTAQUIA</t>
  </si>
  <si>
    <t>HUARCAYA HUAMANI DE MALLCO, ELENA</t>
  </si>
  <si>
    <t>QUISPE DE RODRIGUEZ, MAXIMILIANA</t>
  </si>
  <si>
    <t>PALOMINO CARDENAS, PAULINA</t>
  </si>
  <si>
    <t>ROMAN DE BARRAZA, ALEJANDRINA</t>
  </si>
  <si>
    <t>ASTOQUILCA PALACIOS DE CASTILLO, MAXIMILIANA</t>
  </si>
  <si>
    <t>ARONE AQUINO, NICANOR VICTOR</t>
  </si>
  <si>
    <t>PONCE LUJAN, VITALINA</t>
  </si>
  <si>
    <t>ROJAS CAHUANA, NATALIA</t>
  </si>
  <si>
    <t>RAMOS OSCATA, SOLEDAD</t>
  </si>
  <si>
    <t>CAHUANA  DE ROJAS, MAXIMILIANA</t>
  </si>
  <si>
    <t>BARRAZA PONCE, WILMAR</t>
  </si>
  <si>
    <t>CARDENAS BARRAZA, SAUL RAFAEL</t>
  </si>
  <si>
    <t>RODRIGUEZ QUISPE, ANACLETO</t>
  </si>
  <si>
    <t>BUITRON LAUPA, CRISTINA</t>
  </si>
  <si>
    <t>ARONE SUAREZ DE MAYCO, TEODOSIA</t>
  </si>
  <si>
    <t>ROJAS CAHUANA, EVARISTO WUALTER</t>
  </si>
  <si>
    <t>BARRAZA ARENAZA, CATALINA</t>
  </si>
  <si>
    <t>RIVAS  DE LUJAN, TIMOTEA</t>
  </si>
  <si>
    <t>ARONE MARTINEZ, GRICELDA</t>
  </si>
  <si>
    <t>LUJAN DE TRIGOS, ALEJANDRINA</t>
  </si>
  <si>
    <t>CARDENAS BARRAZA, EDUARDO EDILBERTO</t>
  </si>
  <si>
    <t>SORAS</t>
  </si>
  <si>
    <t>CABANA HUAMANI, MARILUZ</t>
  </si>
  <si>
    <t>QUISPE SANTARIA, CRISTOBAL</t>
  </si>
  <si>
    <t>VICTORIA BACILIO, JORGE</t>
  </si>
  <si>
    <t>RIVERA POMA, FELIPE</t>
  </si>
  <si>
    <t>LAUPA CHIPANA, MENDILSHON</t>
  </si>
  <si>
    <t>JAUREGUI DE LA CRUZ, LIDIA</t>
  </si>
  <si>
    <t>OROSCO BULEJE, CLINIO</t>
  </si>
  <si>
    <t>CLINA LAPA, CANCHO</t>
  </si>
  <si>
    <t>LAPA RIVAS, VIDAL</t>
  </si>
  <si>
    <t>RAMOS CHURASI, CIRILA</t>
  </si>
  <si>
    <t>SILVESTRE SALCEDO, MARTINEZ</t>
  </si>
  <si>
    <t>MONTES CURI, RAUL</t>
  </si>
  <si>
    <t>GUILLEN RIVAS, JULIANA</t>
  </si>
  <si>
    <t>SANTIAGO DE PAUCARAY</t>
  </si>
  <si>
    <t>RIVAS ALARCON, LUZ</t>
  </si>
  <si>
    <t>ALARCON YALLI, DONATILA</t>
  </si>
  <si>
    <t>GAMARGO GUILLEN, YHENNY MIRIAM</t>
  </si>
  <si>
    <t>HUAMANI RIVAS, ELEOTERIA</t>
  </si>
  <si>
    <t>CURI CABANA, BERTHA</t>
  </si>
  <si>
    <t>YALLI CABANA, LUIS</t>
  </si>
  <si>
    <t>CHAVEZ VERROCAL, OSCAR</t>
  </si>
  <si>
    <t>HUAMAN RIVAS, BANIGNO</t>
  </si>
  <si>
    <t>CHURASI CCACCYA, JANET</t>
  </si>
  <si>
    <t>HUAMANI ESPINOZA, ANDREA</t>
  </si>
  <si>
    <t>CURASI YALLE, MARTHA</t>
  </si>
  <si>
    <t>CHURACE YALLI, BERNARDO</t>
  </si>
  <si>
    <t>ALARCON GUTIEREZ, INDIRA</t>
  </si>
  <si>
    <t>MENDOZA TELLO, TITO</t>
  </si>
  <si>
    <t>LAPA CANCHO, FELIX</t>
  </si>
  <si>
    <t>CHAVEZ ALARCON, ESPILIO</t>
  </si>
  <si>
    <t>ALARCON CURE, OLINDA</t>
  </si>
  <si>
    <t>SANCHES PILLACA, EUGENIO</t>
  </si>
  <si>
    <t>ROGELIO SANCHES, ALARCON</t>
  </si>
  <si>
    <t>ALARCON CURI, NEMESIO</t>
  </si>
  <si>
    <t>YALLI RAMOS, VALERIO</t>
  </si>
  <si>
    <t>ALARCON CARRASCO, PILAR</t>
  </si>
  <si>
    <t>HUAMANI DE MEDINA, ALEJANDRINA</t>
  </si>
  <si>
    <t>ANGELICA JAYO, ALARCON</t>
  </si>
  <si>
    <t>SALCEDO RIVAS, GERMAN</t>
  </si>
  <si>
    <t>SANTARIA CARDENAS, PABLO</t>
  </si>
  <si>
    <t>MONTES CURI, NORY</t>
  </si>
  <si>
    <t>CHURASI YALLI, GUADALUPE</t>
  </si>
  <si>
    <t>CABANA GALINDO, AGUSTINA</t>
  </si>
  <si>
    <t>BERROCAL POMA, ADRIAN</t>
  </si>
  <si>
    <t>CHURACE RAMIREZ, SEVERO</t>
  </si>
  <si>
    <t>OLAYA YALLI, HERMELIJDA</t>
  </si>
  <si>
    <t>YALLI MONTES, GABRIEL</t>
  </si>
  <si>
    <t>JAUREGUI ALARCON, PAULINA</t>
  </si>
  <si>
    <t>CARRASCO DE LA CRUZ, MARIA</t>
  </si>
  <si>
    <t>DE LA CRUZ CHURASI, HERMOGENIS</t>
  </si>
  <si>
    <t>VALENCIA CASTILLO, JUANA</t>
  </si>
  <si>
    <t>MOLINA ASTIHUARI, ANATULIA</t>
  </si>
  <si>
    <t>HUAMANI PICHO, VICTORIA</t>
  </si>
  <si>
    <t>PALOMINO MALLMA, DIGNA MERCEDES</t>
  </si>
  <si>
    <t>VALDES OYOLA, SERGUIA</t>
  </si>
  <si>
    <t>CHURASI RAMIREZ DE MARTINEZ, TEODOMIRA</t>
  </si>
  <si>
    <t>GALBAN TORRES, GAVINA</t>
  </si>
  <si>
    <t>FLORES CASTILLO, ZORAIDA</t>
  </si>
  <si>
    <t>TORRES SANCHEZ, HIPOLITO</t>
  </si>
  <si>
    <t>DURAND VALDES, JULIA</t>
  </si>
  <si>
    <t>JERI HUAMANI, ODON</t>
  </si>
  <si>
    <t>PUSARI JAUREGUI, ISABEL TERESA</t>
  </si>
  <si>
    <t>VILCAMOSCO P, ROBERTINA</t>
  </si>
  <si>
    <t>MARTINEZ AROTOMA, SALUSTRINA</t>
  </si>
  <si>
    <t>TORRES HUAMANI, WENSESLAO</t>
  </si>
  <si>
    <t>HUAMAN CHINCHAY, JUAN</t>
  </si>
  <si>
    <t>TORRES VELANCIA, FIDEL</t>
  </si>
  <si>
    <t>QUISPE CARDENAS, LORENA</t>
  </si>
  <si>
    <t>MENDOZA ASTIYAURI, SERGIO</t>
  </si>
  <si>
    <t>VENTURA TORRES, ESTHER</t>
  </si>
  <si>
    <t>JERI MOLINA, JULIO CONSTANTINO</t>
  </si>
  <si>
    <t>CUPE PARDO, DIGNA</t>
  </si>
  <si>
    <t>CALLE ALARCON, VIDALINA</t>
  </si>
  <si>
    <t>PAICO</t>
  </si>
  <si>
    <t>GUTIERREZ RAMOS, FLORA</t>
  </si>
  <si>
    <t>PICHO CANCHO, SAUL FLIFOR</t>
  </si>
  <si>
    <t>ELGUERA VALENCIA, WALTER</t>
  </si>
  <si>
    <t>HUAMANI RAMOS, REGINA EUGENIA</t>
  </si>
  <si>
    <t>OYOLA ROJAS, GLORIA VICTORIA</t>
  </si>
  <si>
    <t>DE LA CRUZ E, TOMAS</t>
  </si>
  <si>
    <t>PARIONA PICHIHUA,  LUCIANO</t>
  </si>
  <si>
    <t>ALFARO MALLQUI, FLORA</t>
  </si>
  <si>
    <t>MEDINA SANCA, JULIA</t>
  </si>
  <si>
    <t>OYOLA CANCHO, TOMAS</t>
  </si>
  <si>
    <t>CANCHO ALFARO, MARY LUZ</t>
  </si>
  <si>
    <t>CABANA PICHIHUA, ROSENDA</t>
  </si>
  <si>
    <t>MARTINEZ VALDES, REYNA</t>
  </si>
  <si>
    <t>ALFARO MUNAYLLA, VICTORIA</t>
  </si>
  <si>
    <t>OLAYA CANCHO, EUSEBIA</t>
  </si>
  <si>
    <t>PECEROS ALFARO, EDWIN PLACIDO</t>
  </si>
  <si>
    <t>PECEROS RIVERA, AUREA</t>
  </si>
  <si>
    <t>MUNAYLLA HERERA, VILMA</t>
  </si>
  <si>
    <t>PICHIHUA YALLI, MIRIAM</t>
  </si>
  <si>
    <t>MALLQUI RAMOS, MAXIMILIANA</t>
  </si>
  <si>
    <t>ALFARO MALLQUI, HERMENEGILDO</t>
  </si>
  <si>
    <t>MUNAYLLA PECEROS, JUVITA EPERANZA</t>
  </si>
  <si>
    <t>GOMES HUAMANI, EUSEBIA</t>
  </si>
  <si>
    <t>TORRES JERI, BLANCA</t>
  </si>
  <si>
    <t>CABANA MALLQUI, PATRICIA</t>
  </si>
  <si>
    <t>MUNAYLLA CCACCYA, ALFONSA POLICARPIO</t>
  </si>
  <si>
    <t>RIVERA PICHIHUA, CRISELDA</t>
  </si>
  <si>
    <t>SALAZAR MALLQUI, CARLOS</t>
  </si>
  <si>
    <t>GAMBOA CABANA, DARIA</t>
  </si>
  <si>
    <t>GOMEZ GUTIERREZ, FLORENTINA</t>
  </si>
  <si>
    <t>GOMEZ GUTIERRES, CRISTINA</t>
  </si>
  <si>
    <t>PECEROS SOSA, CIRILA</t>
  </si>
  <si>
    <t>GAMBOA CABANA, PAULINA</t>
  </si>
  <si>
    <t>SOSA CONDE, CARLOS</t>
  </si>
  <si>
    <t>GOMEZ GUTIERREZ, JULIA</t>
  </si>
  <si>
    <t>GOMEZ ESPINOZA, SUSANA</t>
  </si>
  <si>
    <t>LLAMOCCA GUTIERREZ, SILVANA</t>
  </si>
  <si>
    <t>PAUCCA SOSA, PRICILLANO INOCENCIO</t>
  </si>
  <si>
    <t>PAUCCA PILLIHUAMAN, DIONISIA</t>
  </si>
  <si>
    <t>RAMIREZ SOSA, JULIA</t>
  </si>
  <si>
    <t>LLAMOCCA GOMEZ, DAMIAN</t>
  </si>
  <si>
    <t>GOMEZ NAVARRO, JUAN</t>
  </si>
  <si>
    <t>CABANA PIZARRO, AMBROCIO</t>
  </si>
  <si>
    <t>HUAMANI MEZA, EDWIN</t>
  </si>
  <si>
    <t>CABANA PINEDA, ALEJANDRA</t>
  </si>
  <si>
    <t>PINEDA HUAMANI, BALERIANA</t>
  </si>
  <si>
    <t>NIETO ALFARO, MARTHA PAULINA</t>
  </si>
  <si>
    <t>PINEDA CABANA, SANTOS</t>
  </si>
  <si>
    <t>NIETO DE APAHUASCO, ROSARIO</t>
  </si>
  <si>
    <t>PINEDA HUAMANI, ROSA MARIA</t>
  </si>
  <si>
    <t>PINEDA GANDULIAS, REBECA</t>
  </si>
  <si>
    <t>HUAMANI GOMEZ, DELIA</t>
  </si>
  <si>
    <t>NIETO RUIZ, NILO</t>
  </si>
  <si>
    <t>TOMAYLLA ESCUDERO, ROBERTO</t>
  </si>
  <si>
    <t>CAMARGO CABANA, ISAAC</t>
  </si>
  <si>
    <t>CABANA HUAREZ, HIPOLITA</t>
  </si>
  <si>
    <t>NIETO GASPAR, ELIZA</t>
  </si>
  <si>
    <t>RAMOS VALENCIA, MAURA</t>
  </si>
  <si>
    <t>CABANA PIZARRO, ELIZABETH FLORECITA</t>
  </si>
  <si>
    <t>RAMOS VALENCIA, MAURO SEBASTIAN</t>
  </si>
  <si>
    <t>HUAMANI RAMIREZ, NIMICIA</t>
  </si>
  <si>
    <t>HUAMANI CABANA, ARCENIO</t>
  </si>
  <si>
    <t>HUAMANI LLAMOCCA, ORMILDA</t>
  </si>
  <si>
    <t>RAMIREZ GOMEZ, SIXTO</t>
  </si>
  <si>
    <t>CABANA HUAMANI, LUIZA</t>
  </si>
  <si>
    <t>ALVAREZ SIANCAS, MIGUELINA</t>
  </si>
  <si>
    <t>PARIONA RAMIREZ, ROBERTINA</t>
  </si>
  <si>
    <t>CABANA NIETO, CRISPIN</t>
  </si>
  <si>
    <t>CONDE HUAMANI, DAMIANA</t>
  </si>
  <si>
    <t>HUAMANI DE NIETO, ARCENIA</t>
  </si>
  <si>
    <t>PINEDA CABANA, ADRIANA</t>
  </si>
  <si>
    <t>QUISPERIMA PALOMINO, JUAN</t>
  </si>
  <si>
    <t>ROMERO PINEDA, WILFREDO</t>
  </si>
  <si>
    <t>GASPAR SOSA, SERAPIO</t>
  </si>
  <si>
    <t>DE LA CRUZ VALDEZ, SILVIA MARTHA</t>
  </si>
  <si>
    <t>CABANA ALVARES, ELISEO</t>
  </si>
  <si>
    <t>HUAMANI PINEDA, ANA VILMA</t>
  </si>
  <si>
    <t>ATIQUIPA GARCIA, AGUSTINA</t>
  </si>
  <si>
    <t>HUAMANI GOMEZ, EUSEBIO CALIXTO</t>
  </si>
  <si>
    <t>CABANA SIANCAS, RENE</t>
  </si>
  <si>
    <t>SANCA VARGAS, ROXANA</t>
  </si>
  <si>
    <t>CABANA HUAMANI, LEONARDO</t>
  </si>
  <si>
    <t>TORRES APAHUASCO, JUDITH</t>
  </si>
  <si>
    <t>CABANA DE HUAMANI, UTILIA LUCIA</t>
  </si>
  <si>
    <t>QUEROBAMBA</t>
  </si>
  <si>
    <t>MENDOZA HINOJOSA, VICTOR</t>
  </si>
  <si>
    <t>FLORES DE ESCUDERO, LUISA VILMA</t>
  </si>
  <si>
    <t>ARIAS DE COTAQUISPE, JULIANA FELICITAS</t>
  </si>
  <si>
    <t>ANTEZANA MENDOZA, CERAFINA</t>
  </si>
  <si>
    <t>CONDORI DE COAQUIRA, JUANA PAULA</t>
  </si>
  <si>
    <t>ANTEZANA ZAUÑE, CHAVELA</t>
  </si>
  <si>
    <t>ALLCCA ANTAYA, VICTORIA</t>
  </si>
  <si>
    <t>COAQUIRA CONDORI, FELICITAS</t>
  </si>
  <si>
    <t>MEDINA HUALLANCA, LUIS BELTRAN</t>
  </si>
  <si>
    <t>QUISPE VDA DE ANTEZANA, ROSA</t>
  </si>
  <si>
    <t>RIMACHE ARONE, CATALINA</t>
  </si>
  <si>
    <t>MENDOZA GUILLEN, REGINA</t>
  </si>
  <si>
    <t>JORGE DE DE LA CRUZ, LEONOR</t>
  </si>
  <si>
    <t>AGUILAR GASPAR, FILOMENA</t>
  </si>
  <si>
    <t>CUENCA COTAQUISPE, EMILIANO</t>
  </si>
  <si>
    <t>QUINTANA GAMBOA, LILIANA</t>
  </si>
  <si>
    <t>MOLINA ROJAS, OMAR</t>
  </si>
  <si>
    <t>CANALES DE OROZCO, SEGUNDINA</t>
  </si>
  <si>
    <t>TOMAYLLA NAVARRO, SOL Y MAR</t>
  </si>
  <si>
    <t>TOMAYLLA DE COCHACHI, VENANCIA</t>
  </si>
  <si>
    <t>COCHACHI SALCEDO, YOLANDA</t>
  </si>
  <si>
    <t>LEON CASTREJON, ROSAURA</t>
  </si>
  <si>
    <t>RIMACHI ARONI, JUANA MARIA</t>
  </si>
  <si>
    <t>COCHACHI SALCEDO, GLADYS SONIA</t>
  </si>
  <si>
    <t>GOMEZ GUTIERREZ, RAIDA</t>
  </si>
  <si>
    <t>TOMAYLLA HUAMANI, ERASMO</t>
  </si>
  <si>
    <t>AYALA PILLIHUANCA, MARILUZ</t>
  </si>
  <si>
    <t>MENDOZA ARONE, HIRMA</t>
  </si>
  <si>
    <t>TOMAYLLA DE ROJAS, ENCARNACION</t>
  </si>
  <si>
    <t>GARAY LEDESMA, LUCIA</t>
  </si>
  <si>
    <t>CCOÑES TOMAYLLA, CESAREO</t>
  </si>
  <si>
    <t>PARIONA LOAYZA, RUTH</t>
  </si>
  <si>
    <t>LEON VDA DE ROJAS, CLOTILDE</t>
  </si>
  <si>
    <t>BERROCAL FLORES, ADELAIDA SALUSTRIANA</t>
  </si>
  <si>
    <t>GAMBOA PALACIOS, BALINTIN</t>
  </si>
  <si>
    <t>OCHOA GAMBOA, APOLONIA</t>
  </si>
  <si>
    <t>CASTRO ZUÑIGA, ISAAC ISIDORO</t>
  </si>
  <si>
    <t>MENDIVIL CHAPARRO, SOLEDAD</t>
  </si>
  <si>
    <t>COCHACHI  DE RIMACHE, SALOME</t>
  </si>
  <si>
    <t>CABEZAS LOAYZA, BERTHA</t>
  </si>
  <si>
    <t>GUTIERREZ NIETO, NEMESIA</t>
  </si>
  <si>
    <t>MENDOZA DE CABANA, ALEJANDRINA</t>
  </si>
  <si>
    <t>GARIBAY AROSTEGUI, YOEL FELIX</t>
  </si>
  <si>
    <t>SERRANO TOMAYLLA, SUSANA FILOMENA</t>
  </si>
  <si>
    <t>MARTINEZ FLORES, ALFREDO</t>
  </si>
  <si>
    <t>PILLIHUAMAN QUINTANA, SATURNINO</t>
  </si>
  <si>
    <t>FLORES PUCHURI, EDGAR</t>
  </si>
  <si>
    <t>HUAYTA QUISPE, ANGELICA</t>
  </si>
  <si>
    <t>PECHECO DE ARIAS, AYDEE FILOMENA</t>
  </si>
  <si>
    <t>HUAMANI PINEDA, PAULINA</t>
  </si>
  <si>
    <t>AGUILAR ALFARO, MAXIMO</t>
  </si>
  <si>
    <t>CARDENAS SALCEDO, AYDEE</t>
  </si>
  <si>
    <t>CABANA NIETO, INES VERONICA</t>
  </si>
  <si>
    <t>AUCCASI QUISPE, PAULINA</t>
  </si>
  <si>
    <t>PILLHUAMAN DE MOREYRA, EUGENIA</t>
  </si>
  <si>
    <t>ZEVALLOS MOREYRA, OLINDA</t>
  </si>
  <si>
    <t>RIMACHE COCHACHI, MARITZA</t>
  </si>
  <si>
    <t>TOMAYLLA ESCUDERO, ANA BERTHA</t>
  </si>
  <si>
    <t>MOREYRA DE GUTIERREZ, NELEY</t>
  </si>
  <si>
    <t>ARONE PILLIHUAMAN, TERESA</t>
  </si>
  <si>
    <t>ESCUDERO CACERES, VICENTA</t>
  </si>
  <si>
    <t>GAUREGUI DE AYALA, MARINA</t>
  </si>
  <si>
    <t>MENDIETA RAMIREZ, NATIVIDAD</t>
  </si>
  <si>
    <t>SALCEDO DE MOREYRA, ZENOVIA TEODORA</t>
  </si>
  <si>
    <t>ALDORADIN QUINTANILLA, MARGOT</t>
  </si>
  <si>
    <t>MENDOZA ALCEDO, JOSE MELQUIADES</t>
  </si>
  <si>
    <t>ARAPA DE CHAMBI, FORTUNATA</t>
  </si>
  <si>
    <t>COTAQUISPE CARDENAS, SANTA RUFINA</t>
  </si>
  <si>
    <t>BARRIENTOS LEON, ROBERTA</t>
  </si>
  <si>
    <t>COÑEZ NINAPAYTAN, SANTOS</t>
  </si>
  <si>
    <t>PILLIHUAMAN COTAQUISPE, FABIANA</t>
  </si>
  <si>
    <t>ZEVALLOS MOREYRA, ATILIO</t>
  </si>
  <si>
    <t>GASPAR DE AGUILAR, NIVESA</t>
  </si>
  <si>
    <t>ARONE TOMAYLLA, JIM DOMINGO</t>
  </si>
  <si>
    <t>PILLIHUAMAN ROJAS, IRENE</t>
  </si>
  <si>
    <t>COTAQUISPE FERNANDEZ, YOLANDA</t>
  </si>
  <si>
    <t>PACHECO TAIPE, LUZMILA</t>
  </si>
  <si>
    <t>OCHOA CUCHO, PRUDENCIO</t>
  </si>
  <si>
    <t>COÑES DE ESCODERO, TEODOMIRA</t>
  </si>
  <si>
    <t>SUAREZ RIVERA, BETSABE</t>
  </si>
  <si>
    <t>GAMBOA ARONE, NIEVESA</t>
  </si>
  <si>
    <t>SUAREZ COÑES, JULIO</t>
  </si>
  <si>
    <t>HUAMANI COTAQUISPE, TOMASA MARLENY</t>
  </si>
  <si>
    <t>COTAQUISPE GAMBOA, MIGUEL ANGEL</t>
  </si>
  <si>
    <t>ROMAN ARONE, JUSTINA</t>
  </si>
  <si>
    <t>GASPAR HUAMANI, FREDY</t>
  </si>
  <si>
    <t>CONDORI PINTO, AUDON</t>
  </si>
  <si>
    <t>FERROA PALACIOS, DOMITILA</t>
  </si>
  <si>
    <t>QUINTANA GAMBOA, CARMEN CALIXTA</t>
  </si>
  <si>
    <t>MARTINEZ MENDOZA VDA DE SALCEDO, BENIGNA</t>
  </si>
  <si>
    <t>RIVERA DE SUAREZ, MODESTA</t>
  </si>
  <si>
    <t>AYALA MENDOZA, ESMIT</t>
  </si>
  <si>
    <t>AROSTEGUI LOAYZA, LUZ GABRIELA</t>
  </si>
  <si>
    <t>JORGE GANDULIAS, SABINA</t>
  </si>
  <si>
    <t>QUISPE DE COCHARI, EUFRACIA</t>
  </si>
  <si>
    <t>MENDOZA SERRANO, CATALINA</t>
  </si>
  <si>
    <t>TOMAYLLA ALFARO, APOLONIA</t>
  </si>
  <si>
    <t>CABANA MENDOZA, ELVIRA</t>
  </si>
  <si>
    <t>APARCO QUISPE, VICTORIA</t>
  </si>
  <si>
    <t>ROJAS ANTEZANA, ELIZABETH</t>
  </si>
  <si>
    <t>COCHACHI QUISPE, AGUSTIN MIGUEL</t>
  </si>
  <si>
    <t>ARRIAGA JAUREGUI, SOFIA</t>
  </si>
  <si>
    <t>COÑES MARTINEZ, PASCUALA JUANA</t>
  </si>
  <si>
    <t>OLARTE ROGELIA, JORGE</t>
  </si>
  <si>
    <t>COÑES COÑES, INES</t>
  </si>
  <si>
    <t>COÑES MARTINEZ, ELADIA</t>
  </si>
  <si>
    <t>PILLIHUAMAN ARONE, TEOFILA</t>
  </si>
  <si>
    <t>ATIQUIPA PILLIHUAMAN, EDWEN</t>
  </si>
  <si>
    <t>ALLCCA ARCA, GILMER</t>
  </si>
  <si>
    <t>CALLAÑAUPA MENDOZA DE COTAQUISPE, DONATILA</t>
  </si>
  <si>
    <t>PARIONA HUAMANI, BASILINA</t>
  </si>
  <si>
    <t>CUENCA MENDOZA, ROBERTA</t>
  </si>
  <si>
    <t>MARTINEZ DE COÑES, SANDALIA</t>
  </si>
  <si>
    <t>GARIBAY ZEVALLOS, VIVIANO</t>
  </si>
  <si>
    <t>GONZALES RIMACHE, ZINOBIA</t>
  </si>
  <si>
    <t>PILLIHUAMAN ROJAS, SERAFINA JULIA</t>
  </si>
  <si>
    <t>PILLIHUAMAN ÑAHUI, ADELAYDA E</t>
  </si>
  <si>
    <t>ARONE ARIAS, EDMUNDO</t>
  </si>
  <si>
    <t>CISNEROS QUISPE, MARITZA</t>
  </si>
  <si>
    <t>ARONE TOMAYLLA, KARIM</t>
  </si>
  <si>
    <t>POMA DE SALAZAR, ALIDIA FLORENCIA</t>
  </si>
  <si>
    <t>ESCUDERO ANTEZANA, RIGOBERTO</t>
  </si>
  <si>
    <t>ECHEVARRIA AROSTEGUI, TEODOSIA</t>
  </si>
  <si>
    <t>RAMOS PALOMINO, DINA</t>
  </si>
  <si>
    <t>GARIBAY GAMBOA, JENETT NANCY</t>
  </si>
  <si>
    <t>ALFONSO GAMBOA, GLADYS</t>
  </si>
  <si>
    <t>PILLIHUAMAN CCOÑES, PLACIDA</t>
  </si>
  <si>
    <t>CARDENAS SALCEDO, VIOLETA</t>
  </si>
  <si>
    <t>ALFARO GAMBOA, NANCY</t>
  </si>
  <si>
    <t>CUCHO GAMBOA, CARMEN ROSA</t>
  </si>
  <si>
    <t>ALFARO GAMBOA, VILMA</t>
  </si>
  <si>
    <t>HUAMANI PACCO, CARMELA</t>
  </si>
  <si>
    <t>ALLCCA ARCA, REYNA</t>
  </si>
  <si>
    <t>DE LA CRUZ JORGE, HILARIA MAXIMA</t>
  </si>
  <si>
    <t>TOMAYLLA CONDE, BELISARIO</t>
  </si>
  <si>
    <t>CABANA NIETO, CECILIA</t>
  </si>
  <si>
    <t>ARCA TOMAYLLA, CIRILO</t>
  </si>
  <si>
    <t>COÑES TOMAYLLA, GUSMANA</t>
  </si>
  <si>
    <t>QUISPE TOMAYLLA, RUFINA</t>
  </si>
  <si>
    <t>LOPEZ CABANA, NORMA</t>
  </si>
  <si>
    <t>ARONE ORE, ZOZIMO</t>
  </si>
  <si>
    <t>FLORES MORALES, VIRGINIA</t>
  </si>
  <si>
    <t>MEDINA LLACHUA, ORLANDO</t>
  </si>
  <si>
    <t>ALFARO DE ZEVALLOS, TERESA</t>
  </si>
  <si>
    <t>HUAMANI ROJAS, MARYBEL</t>
  </si>
  <si>
    <t>ALLCCA MENDOZA, ENRIQUETA</t>
  </si>
  <si>
    <t>TOMAYLLA  DE COÑES, EDILBERTA</t>
  </si>
  <si>
    <t>COÑES TOMAYLLA, FERMIN</t>
  </si>
  <si>
    <t>BELLIDO MEDINA, EFRAIN</t>
  </si>
  <si>
    <t>CAYHUALLA ALLCCA, HILDA</t>
  </si>
  <si>
    <t>GANDULIAS LLAMOCCA, VALERIANA</t>
  </si>
  <si>
    <t>GARIBAY GAMBOA, DIONISIA</t>
  </si>
  <si>
    <t>ZAPATA TORRES, EVA</t>
  </si>
  <si>
    <t>GRADOS  DE FLORES, GLISERIA</t>
  </si>
  <si>
    <t>SANCHEZ MEZA, TERESA TEODOCIA</t>
  </si>
  <si>
    <t>PILLIHUAMAN RODAS DE CUENCA, BERTHA</t>
  </si>
  <si>
    <t>CAHUANA DE QUINTANA, JOSEFINA</t>
  </si>
  <si>
    <t>MENDOZA DE QUISPE, SOFIA</t>
  </si>
  <si>
    <t>COTAQUISPE PILLIHUAMAN, EPIFANIA</t>
  </si>
  <si>
    <t>ROJAS AMADOR, PILLIHUAMAN</t>
  </si>
  <si>
    <t>APAHUASCO LLAMOCCA, ANATOLIO</t>
  </si>
  <si>
    <t>QUISPE GANDULIAS, PERSEVERANCIA</t>
  </si>
  <si>
    <t>SALAZAR DE ANTEZANA, LOURDES</t>
  </si>
  <si>
    <t>MENDOZA HATAUQUI, ANA MARIA</t>
  </si>
  <si>
    <t>ALVAREZ OROSCO, JULIA CRISTINA</t>
  </si>
  <si>
    <t>ARESTEGUI LOAYZA, VIOLETA</t>
  </si>
  <si>
    <t>SAUÑE DE ANTEZANA, ZENAIDA</t>
  </si>
  <si>
    <t>TOMAYLLA COTAQUISPE, CLOTILDE</t>
  </si>
  <si>
    <t>TOMAYLLA CUENCA, DAMIAN</t>
  </si>
  <si>
    <t>PILLIHUAMAN POCCORPACHI, ADELA NICACIA</t>
  </si>
  <si>
    <t>MENDOZA DE CUENCA, SERAFINA</t>
  </si>
  <si>
    <t>OROSCO LAGOS, FELIX ALEJANDRO</t>
  </si>
  <si>
    <t>ESCUDERO SUAREZ, ROGER DOMICIANO</t>
  </si>
  <si>
    <t>TORRES ESPINOZA, ROGELIA</t>
  </si>
  <si>
    <t>SUCHO SILVA, COCO ANTONIO</t>
  </si>
  <si>
    <t>ALFARO GAMBOA, ZUNILDA</t>
  </si>
  <si>
    <t>OLARTE ROJAS, JUANA MARIA</t>
  </si>
  <si>
    <t>PARIONA ASTOQUILCA, HECTOR RAUL</t>
  </si>
  <si>
    <t>QUISPE HUAYTA, RICARDO</t>
  </si>
  <si>
    <t>SEANCAS DE PILLIHUAMAN, TEODORA</t>
  </si>
  <si>
    <t>ASTIYAURE ÑAHUIS DE MENDOZA, NORMA LEONOR</t>
  </si>
  <si>
    <t>CASTILLO DE COTAQUISPE, MAXIMILIANA</t>
  </si>
  <si>
    <t>DE LA CRUZ CARRASCO, RUBEN</t>
  </si>
  <si>
    <t>MARTINEZ TOMAYLLA, ODILIA</t>
  </si>
  <si>
    <t>MOREYRA DE ZEVALLOS, MARINA</t>
  </si>
  <si>
    <t>LOA GUTIERREZ, MARITZA</t>
  </si>
  <si>
    <t>ARONE DE AGUILAR, KARINA MONTERO</t>
  </si>
  <si>
    <t>APAZA DE MAMANI, MARIA</t>
  </si>
  <si>
    <t>ARESTEGUI MARTINEZ, RAUL PAULINO</t>
  </si>
  <si>
    <t>SALCEDO MARTINEZ, LIDIA MARECILDA</t>
  </si>
  <si>
    <t>GARIBAY SALCEDO, DAVID LEONCIO</t>
  </si>
  <si>
    <t>QUINTANA SEANCAS, ALFREDO GREGORIO</t>
  </si>
  <si>
    <t>TELLO CABANA, GERARDA</t>
  </si>
  <si>
    <t>GAMBOA JOYA, YOLANDA</t>
  </si>
  <si>
    <t>PALACIOS GARIBAY, MARISOL</t>
  </si>
  <si>
    <t>GARIBAY GAMBOA, VIRGINIA</t>
  </si>
  <si>
    <t>ECHEVARRIA NAVARRO, MARIO MARIANO</t>
  </si>
  <si>
    <t>CAMARGO GARIBAY, LUCILA</t>
  </si>
  <si>
    <t>GARIBAY QUISPE, DAMIANA GLORIA</t>
  </si>
  <si>
    <t>COTAQUISPE FERNANDES, NIERE</t>
  </si>
  <si>
    <t>CAMARGO GARIBAY, MARIA JULIA</t>
  </si>
  <si>
    <t>AROSTEGUI MARTINEZ, EDGAR ELMER</t>
  </si>
  <si>
    <t>CANCHO QUINTANA, PRUDENCIO</t>
  </si>
  <si>
    <t>MARTINEZ QUISPE, FELICITAS</t>
  </si>
  <si>
    <t>TOMAYLLA CUENCA, AURELIA</t>
  </si>
  <si>
    <t>MENDIVIL CHAPARRO, ELIZABETH</t>
  </si>
  <si>
    <t>GAMBOA HUAMANI, FRUCTUOSO</t>
  </si>
  <si>
    <t>CARLOS DE QUISPE, DAMIANA</t>
  </si>
  <si>
    <t>QUISPE QUINTANA, CELIA</t>
  </si>
  <si>
    <t>ANTESANA APARCO, VICTORIA</t>
  </si>
  <si>
    <t>QUISPE GARIBAY, NORMA</t>
  </si>
  <si>
    <t>LOPEZ CABANA, ALFONSA</t>
  </si>
  <si>
    <t>QUINTANA AROSTEGUI, ALEJANDRINA</t>
  </si>
  <si>
    <t>GAMBOA ARONE DE SALCEDO, MAXIMILIANA</t>
  </si>
  <si>
    <t>MARTINEZ QUISPE, DIONISIA</t>
  </si>
  <si>
    <t>TOMAYLLA CUENCA DE JULCA, OBDULIA</t>
  </si>
  <si>
    <t>MARTINEZ QUISPE, MARUJA</t>
  </si>
  <si>
    <t>QUISPE QUINTANA, ASEAS LAURIO</t>
  </si>
  <si>
    <t>RODAS MOLINA, YRENE DOLORES</t>
  </si>
  <si>
    <t>NUÑEZ LIZARBE, ELEOTERIO</t>
  </si>
  <si>
    <t>AYALA PALACIOS, FAUSTINA</t>
  </si>
  <si>
    <t>AROSTEGUI ANTEZANA, MAGALY</t>
  </si>
  <si>
    <t>LIZARBE GALINDO, NORMA</t>
  </si>
  <si>
    <t>GARIBAY AROSTEGUI, LICET VIRGINIA</t>
  </si>
  <si>
    <t>CARDENAS GARIBAY, VIRGILIO</t>
  </si>
  <si>
    <t>SALCEDO QUISPE, INOCENCIA</t>
  </si>
  <si>
    <t>MEDINA QUISPE, GEDION</t>
  </si>
  <si>
    <t>APAZA COAQUIRA, NELLEY</t>
  </si>
  <si>
    <t>TINCO CAMARGO, HERMELINDA</t>
  </si>
  <si>
    <t>GARIBAY QUINTANA, LIDIA</t>
  </si>
  <si>
    <t>QUISPE DE GARIBAY, OBDULIA</t>
  </si>
  <si>
    <t>SIANCAS GARIBAY, CONCEPCION</t>
  </si>
  <si>
    <t>AROSTEGUI CAMARGO, RAUL</t>
  </si>
  <si>
    <t>QUISPE CAMARGO, DIONICIA</t>
  </si>
  <si>
    <t>LOYOLA DE MARTINEZ, OSTRIGILDA</t>
  </si>
  <si>
    <t>QUISPE CARLOS, FLOR</t>
  </si>
  <si>
    <t>GAMBOA QUISPE, ROCSANA</t>
  </si>
  <si>
    <t>QUINTANA DE GARCIA, RENILDA</t>
  </si>
  <si>
    <t>CAMARGO DE QUINTANA, ISABEL</t>
  </si>
  <si>
    <t>MARTINEZ VALDEZ, YSIDORO</t>
  </si>
  <si>
    <t>COÑEZ COTAQUISPE, FLORIANA</t>
  </si>
  <si>
    <t>RAFAEL DE CARHUAS, CARMEN</t>
  </si>
  <si>
    <t>ECHEVARRIA AROSTEGUI, YOLANDA</t>
  </si>
  <si>
    <t>AROSTEGUI SEANCAS, CESAR</t>
  </si>
  <si>
    <t>AROSTEGUI RODRIGUEZ, ALEJANDRINA GLADYS</t>
  </si>
  <si>
    <t>GAMBOA SALCEDO, HERMILIO</t>
  </si>
  <si>
    <t>GARIBAY PALACIOS, DIONICIA</t>
  </si>
  <si>
    <t>ALFARO MELENDEZ, TEODOSIA CARMEN</t>
  </si>
  <si>
    <t>ALARCON GARIBAY, HERMELINDA</t>
  </si>
  <si>
    <t>QUINTANA QUISPE, JERONIMO MAMERTO</t>
  </si>
  <si>
    <t>OLARTE RODAS, SILVESTRE BENIGNO</t>
  </si>
  <si>
    <t>CAHUANA CARHUAS, SANTIAGO</t>
  </si>
  <si>
    <t>PALACIOS ALFARO, ROSA</t>
  </si>
  <si>
    <t>AYALA PALACIOS, ALEX</t>
  </si>
  <si>
    <t>ÑAHUIS QUINTANA, EUSTAQUIA</t>
  </si>
  <si>
    <t>CAMARGO GAMBOA, YOVANA</t>
  </si>
  <si>
    <t>OCHOA DE GAMBOA, DIONICIA EPIFANIA</t>
  </si>
  <si>
    <t>MARTINEZ CARLOS, ZENAIDA</t>
  </si>
  <si>
    <t>SEANCAS DE CANCHO, LUISA ROSALINA</t>
  </si>
  <si>
    <t>GAMBOA CARLOS, CEFERINO</t>
  </si>
  <si>
    <t>SEANCAS DE SALCEDO, INES</t>
  </si>
  <si>
    <t>GALINDO QUINTANA, LEONCIA</t>
  </si>
  <si>
    <t>QUINTANA OLIVARES, ZIMFOROSA</t>
  </si>
  <si>
    <t>QUINTANA VALDIVIA, ERICKA REYNA</t>
  </si>
  <si>
    <t>AROSTEGUI DE RODRIGUEZ, LEONCIA</t>
  </si>
  <si>
    <t>GAMBOA DE QUINTANA, FLAVIA</t>
  </si>
  <si>
    <t>ARIAS CARDENAS, MAGNA</t>
  </si>
  <si>
    <t>QUINTANA SALCEDO, SERGIO</t>
  </si>
  <si>
    <t>CARDENAS DE FLORES, ALEJANDRINA APOLINARIA</t>
  </si>
  <si>
    <t>CANCHO SEANCAS, REGINA</t>
  </si>
  <si>
    <t>RODRIGUEZ DE SALCEDO, TIOFANA</t>
  </si>
  <si>
    <t>VALDIVIA DE QUINTANA, REYNA</t>
  </si>
  <si>
    <t>CHOQUE PARIONA, GLORIA FRANCISCA</t>
  </si>
  <si>
    <t>YAUYO ESCUDERO, JESUS MANUEL</t>
  </si>
  <si>
    <t>MORCOLLA</t>
  </si>
  <si>
    <t>DE LA CRUZ MENDOZA, ROGELIO</t>
  </si>
  <si>
    <t>CAYHUALLA ÑAHUE, SOFIA ANTOZA</t>
  </si>
  <si>
    <t>RAMIREZ PARIONA DE DE LA CRUZ, ELENA</t>
  </si>
  <si>
    <t>QUISPE DE LA CRUZ, ANA MARIA</t>
  </si>
  <si>
    <t>ALVAREZ HUARCAYA, JUAN</t>
  </si>
  <si>
    <t>SANTARIA GUTIERREZ, CONSTANCIA YOLANDA</t>
  </si>
  <si>
    <t>ORE CAYHUALLA, JUANA URSULA</t>
  </si>
  <si>
    <t>FLORES HUAMANI, ABELARDO MAGIN</t>
  </si>
  <si>
    <t>OSSCO GONZALES DE FLORES, ALEJA</t>
  </si>
  <si>
    <t>POMAHUALLCA ESCUDERO, CRECENCIO</t>
  </si>
  <si>
    <t>ZANCA GUERRERA, AMELIA</t>
  </si>
  <si>
    <t>POMAHUALLCCA CONTRERAS, NATIVIDAD ESTHER</t>
  </si>
  <si>
    <t>CAYHUALLA GUERRERA, OCTAVIO</t>
  </si>
  <si>
    <t>SANCA RAMIREZ, ERLINDA</t>
  </si>
  <si>
    <t>PUMAHUALLCA CAIHUALLA, CELSO</t>
  </si>
  <si>
    <t>GOMEZ MENDOZA, EUDOSIO</t>
  </si>
  <si>
    <t>LOAYZA CAYHUALLA, LUZ</t>
  </si>
  <si>
    <t>POMAHUALLCA CAYHUALLA, ROSMERY</t>
  </si>
  <si>
    <t>QUISPE DE LA CRUZ, JULIA NINFA</t>
  </si>
  <si>
    <t>GUTIERREZ HUAMAN, ANA MARIA</t>
  </si>
  <si>
    <t>OROSCO FLORES, AGUSTINA</t>
  </si>
  <si>
    <t>TOFEÑO QUISPE, IRMA ISIDORA</t>
  </si>
  <si>
    <t>ESPINO YARANGA, MARCIAL</t>
  </si>
  <si>
    <t>POMAHUALLCCA MARTINEZ, SIXTO RUBEN</t>
  </si>
  <si>
    <t>ESCUDERO COTAQUISPE, MARIA FELIX</t>
  </si>
  <si>
    <t>SALAZAR SANCA, CELIA</t>
  </si>
  <si>
    <t>POMAHUALLCA COTAQUISPE, OBDELIA</t>
  </si>
  <si>
    <t>ESCUDERO CAYHUALLA, AQUILINA BENITA</t>
  </si>
  <si>
    <t>POMAHUALLCA DE LA CRUZ, CAROLINA</t>
  </si>
  <si>
    <t>POMAHUALLCA SULCA, CARLOS ALFONSO</t>
  </si>
  <si>
    <t>POMAHUALLCA CAYHUALLA, ASUNSIONA</t>
  </si>
  <si>
    <t>APCHO DE HUAMANI, MARINA EUSTAQUIA</t>
  </si>
  <si>
    <t>GUERRERA PARIONA, VICTORIA HONORATA</t>
  </si>
  <si>
    <t>RAMIREZ ESCUDERO, LUCIA</t>
  </si>
  <si>
    <t>LOAYZA ESCUDERO, CRECILIANO</t>
  </si>
  <si>
    <t>GUERRERA ESCUDERO, OLENDES MOECES</t>
  </si>
  <si>
    <t>BELLIDO DE HUAMAN, BERTHA</t>
  </si>
  <si>
    <t>APCHO DE CAYHUALLA, ESTHER</t>
  </si>
  <si>
    <t>DIAZ GUERRERA, JAVIER OSCAR</t>
  </si>
  <si>
    <t>GUTIERREZ HUAMAN, BERNARDINA</t>
  </si>
  <si>
    <t>HUAMANI FLORES DE ESCUDERO, BALVINA BENJAMINA</t>
  </si>
  <si>
    <t>MITMA FERNANDEZ, ESTHER</t>
  </si>
  <si>
    <t>RAMIREZ OSEJO, REYNA BALVINA</t>
  </si>
  <si>
    <t>MEDINA SANTIAGO, MARIA LUISA</t>
  </si>
  <si>
    <t>MENDOZA HUARCAYA, HERLINDA</t>
  </si>
  <si>
    <t>CAYHUALLA RAMIREZ, WILFREDO ADOLFO</t>
  </si>
  <si>
    <t>CONTRERAS ESCUDERO DE CAYHUALLA, YOLANDA PETRONILA</t>
  </si>
  <si>
    <t>POMAHUALLCA DE YAUYO, INDALICIA</t>
  </si>
  <si>
    <t>APCHO ALVAREZ, IGNACIO</t>
  </si>
  <si>
    <t>POMAHUALLCA OSEJO, NANCY BEATRIZ</t>
  </si>
  <si>
    <t>CAYHUALLA VDA DE QUISPE, LUISA</t>
  </si>
  <si>
    <t>ESCUDERO CCACCYA, FELIX</t>
  </si>
  <si>
    <t>RAMIREZ POMAHUALLCA, SILVESTRE DARIO</t>
  </si>
  <si>
    <t>DE LA CRUZ FLORES, SATURNINA</t>
  </si>
  <si>
    <t>CAYHUALLA APCHO, ANA LUZ</t>
  </si>
  <si>
    <t>RAMIREZ POMAHUALLCA, DONACIANO GERARDO</t>
  </si>
  <si>
    <t>ESCUDERO CAYHUALLA DE CAYHUALLA, CLARA</t>
  </si>
  <si>
    <t>OSEJO DE QUINTANA, TERESA</t>
  </si>
  <si>
    <t>CAYHUALLA DE FLORES, VICTORIA</t>
  </si>
  <si>
    <t>CARDENAS DE RAMIREZ, MAURA</t>
  </si>
  <si>
    <t>CONDE DE CAYHUALLA, SANTOSA</t>
  </si>
  <si>
    <t>YAUYO HUAMANI, BENITO</t>
  </si>
  <si>
    <t>YAUYO CAYHUALLA, MARTHA</t>
  </si>
  <si>
    <t>PARIONA CONTRERAS, EDY</t>
  </si>
  <si>
    <t>COTAQUISPE GOYO, PAULINA SOFIA</t>
  </si>
  <si>
    <t>YAUYO HUAMANI, ALECIA ELSA</t>
  </si>
  <si>
    <t>CAYHUALLA OROSCO, GUILLERMINA AMANCIA</t>
  </si>
  <si>
    <t>CUSI CHAMBA, SANTA CLARA</t>
  </si>
  <si>
    <t>HUACA¥A</t>
  </si>
  <si>
    <t>ESCUDERO QUISPE, AYDEE CIRILA</t>
  </si>
  <si>
    <t>LOAYZA CAYHUALLA, HIPOLITO AMADEO</t>
  </si>
  <si>
    <t>POMAHUALLCA RAMIREZ, LUZ CLOTILDE</t>
  </si>
  <si>
    <t>VEGA FLORES, ROSA CARMEN</t>
  </si>
  <si>
    <t>CHOQUE PUMAHUALLCA, JUAN CERAPIO</t>
  </si>
  <si>
    <t>CHOQUE PARIONA, OBDULIA</t>
  </si>
  <si>
    <t>DE LA CRUZ LOAYZA DE QUISPE, EUDOSIA</t>
  </si>
  <si>
    <t>OLARTE ROJAS, CATALINA</t>
  </si>
  <si>
    <t>POMAHUALLCA DE QUISPE, MARIA NATIVIDAD</t>
  </si>
  <si>
    <t>CAYHUALLA CONTRERAS, SINDIA</t>
  </si>
  <si>
    <t>SANTARIA GUTIERREZ, LEOPOLDO</t>
  </si>
  <si>
    <t>POMAHUALLCA COTAQUISPE, JACINTO</t>
  </si>
  <si>
    <t>DIAZ CAYHUALLA, DOLORES ANDREA</t>
  </si>
  <si>
    <t>CAYHUALLA DE LA CRUZ, EUTROPIA YSIDORA</t>
  </si>
  <si>
    <t>OLARTE PARIONA, FILOMENA</t>
  </si>
  <si>
    <t>MARTINEZ HUAUYA, FERMINA MARIA</t>
  </si>
  <si>
    <t>CORONADO PAUCCA, CELIA</t>
  </si>
  <si>
    <t>PUCHURI QUISPE DE SALAZAR, PRIMITIVA</t>
  </si>
  <si>
    <t>SANCA DE MENDOZA, JUAQUINA</t>
  </si>
  <si>
    <t>PUCHURI VDA DE CORONADO, MAGDALENA</t>
  </si>
  <si>
    <t>ÑAHUI ÑAHUI, BENIGNA</t>
  </si>
  <si>
    <t>VASQUEZ HUARCAYA DE MARTINEZ, MARIA CLEOFE</t>
  </si>
  <si>
    <t>SALAZAR PUCHURI DE SALCEDO, TEOFILA INOCENCIA</t>
  </si>
  <si>
    <t>MARTINEZ OSCORIMA DE QUISPE, SABINA</t>
  </si>
  <si>
    <t>CHOQUE ÑAHUI, FILOMENO</t>
  </si>
  <si>
    <t>SALAZAR DE HUAMANI, MARINA</t>
  </si>
  <si>
    <t>PUCHURI DIAZ, CLAUDIO</t>
  </si>
  <si>
    <t>ROJAS TOFINA, SEBASTIANA</t>
  </si>
  <si>
    <t>VASQUEZ DE MARTINEZ, LUCIA MARIA</t>
  </si>
  <si>
    <t>PUCHURI QUISPE, MARIA JESUS</t>
  </si>
  <si>
    <t>PUCHURI DE QUISPE, JULIA EUSEBIA</t>
  </si>
  <si>
    <t>SALAZAR PUCHURI, VICTOR</t>
  </si>
  <si>
    <t>TOFENIO MUÑOZ DE QUISPE, MARIA LUISA</t>
  </si>
  <si>
    <t>AROTINCO TORRES, AVELINA</t>
  </si>
  <si>
    <t>PAUCCA DE CORONADO, MARIA</t>
  </si>
  <si>
    <t>PUCHURI HUAUYA DE CHOQUE, JUANA FRANCISCA</t>
  </si>
  <si>
    <t>HUAMANI ESCUDERO, MARILUZ</t>
  </si>
  <si>
    <t>MENDOZA HUAUYA DE CHOQUE, NOLBERTA</t>
  </si>
  <si>
    <t>HUAUYA TOFEÑO, ILDEFONSO</t>
  </si>
  <si>
    <t>RIMACHE DE ÑAHUI, MILANIA</t>
  </si>
  <si>
    <t>ÑAHUI MASCCO, SOLANIA</t>
  </si>
  <si>
    <t>PUCHURI DIAZ, BEBIANA PELAGIA</t>
  </si>
  <si>
    <t>CORONADO DE ROJAS, PLACIDA</t>
  </si>
  <si>
    <t>HUAUYA CORONADO, BERNARDINO</t>
  </si>
  <si>
    <t>MARCA ROJAS, AVELINO</t>
  </si>
  <si>
    <t>ÑAHUI ÑAHUI, ROXANA</t>
  </si>
  <si>
    <t>HUAUYA HUAMANI, SERAFIN JACINTO</t>
  </si>
  <si>
    <t>APCHO HUAUYA, NELLY</t>
  </si>
  <si>
    <t>PICHO MENDOZA DE ROJAS, JULIA TERESA</t>
  </si>
  <si>
    <t>MENDOZA CHOQUE, GUILLERMO TEODORO</t>
  </si>
  <si>
    <t>YUCRA HUAUYA, FORTUNATO</t>
  </si>
  <si>
    <t>RIMACHE ARONI, HONORATO JUAN</t>
  </si>
  <si>
    <t>HUAMANI SALAZAR, REYNA ELIZABETH</t>
  </si>
  <si>
    <t>HUATAQUISPE VASQUEZ, LEYDA CIPRIANA</t>
  </si>
  <si>
    <t>QUISPE DE CORONADO, CELIA</t>
  </si>
  <si>
    <t>CAHUANA DE LA CRUZ, YOVANITA</t>
  </si>
  <si>
    <t>ROJAS RIMACHE, HERACLIO</t>
  </si>
  <si>
    <t>ÑAHUI MARTINEZ, TELESFORO</t>
  </si>
  <si>
    <t>CHOQUE MENDOZA, BERTHA</t>
  </si>
  <si>
    <t>MARTINEZ DE YUCRA, CONSTANTINA</t>
  </si>
  <si>
    <t>HUAUYA GASPAR, ISABEL</t>
  </si>
  <si>
    <t>GUERRERA ROJAS, TERESA LUCIA</t>
  </si>
  <si>
    <t>PUCHURI HUAUYA DE YUCRA, BEATRIZ</t>
  </si>
  <si>
    <t>ROJAS HUAUYA, ANITA</t>
  </si>
  <si>
    <t>ROJAS CORONADO, LUCILA</t>
  </si>
  <si>
    <t>ROJAS HUAMAN, JUAN DE DIOS</t>
  </si>
  <si>
    <t>RAMIREZ ÑAHUI, AURELIA</t>
  </si>
  <si>
    <t>TOFEÑO PICHO DE VASQUEZ, DINA</t>
  </si>
  <si>
    <t>AROTINCO YUCRA, LUISA</t>
  </si>
  <si>
    <t>ROJAS SANCA, ELENA ERNESTINA</t>
  </si>
  <si>
    <t>ÑAHUI RAMIREZ, MARTHA NICOLAZA</t>
  </si>
  <si>
    <t>ÑAHUI PICHO, PANTALEON</t>
  </si>
  <si>
    <t>HUAUYA HUAMANI, CRISTINA</t>
  </si>
  <si>
    <t>YUCRA QUISPE, NORMA</t>
  </si>
  <si>
    <t>HUAMAN AROTINCO, NARCIZO</t>
  </si>
  <si>
    <t>HUAYHUA AROTINCO, DARIO</t>
  </si>
  <si>
    <t>ÑAHUI ROJAS, PLACIDA</t>
  </si>
  <si>
    <t>GUERRERA HUAMAN, DEYSI</t>
  </si>
  <si>
    <t>TOFEÑO PAUCCA, INOSENCIO NAZARIO</t>
  </si>
  <si>
    <t>CHIRA QUISPE, DARIA</t>
  </si>
  <si>
    <t>QUISPE HUAUYA, JULIA ALBERTINA</t>
  </si>
  <si>
    <t>QUISPE QUISPE DE PUCHURI, FILOMENA</t>
  </si>
  <si>
    <t>PUCHURI CENTENO, EULALIA IRENE</t>
  </si>
  <si>
    <t>QUISPE PUCHURI, PEDRO PABLO</t>
  </si>
  <si>
    <t>GASPAR AROTINCO, ROSALIA</t>
  </si>
  <si>
    <t>MENDOZA DE AROTINCO, MARTHA OLINDA</t>
  </si>
  <si>
    <t>AROTINCO MENDOZA, NIQUE NOE</t>
  </si>
  <si>
    <t>QUISPE HUAUYA, NATIVIDAD</t>
  </si>
  <si>
    <t>CABANA HUAMANI, AGREPINA</t>
  </si>
  <si>
    <t>LEON HUARCAYA, LUIS</t>
  </si>
  <si>
    <t>FLORES PUCHURI, JORGE</t>
  </si>
  <si>
    <t>CRUZADO DIAZ, CARLOS MARCIAL</t>
  </si>
  <si>
    <t>YAUYO DE GALINDO, HILARIA</t>
  </si>
  <si>
    <t>MEDINA GALINDO DE BELLIDO, ZENOBIA</t>
  </si>
  <si>
    <t>ROJAS CAJIALLA, OLGA LIDIA</t>
  </si>
  <si>
    <t>BELLIDO HUAUYA, VILMA</t>
  </si>
  <si>
    <t>MEDINA SULCA, INOCENCIA</t>
  </si>
  <si>
    <t>FLORES YAUYO, BASILIA</t>
  </si>
  <si>
    <t>PACHURI ARCA, VALENTINA</t>
  </si>
  <si>
    <t>RIVERA CONDE DE HUAMANI, JUANITA</t>
  </si>
  <si>
    <t>CARRASCO  DE HUARCAYA, BERNARDINA</t>
  </si>
  <si>
    <t>PARIONA DE MEDINA, JUANA</t>
  </si>
  <si>
    <t>MEDINA BASILIO, JUAN AURELIANO</t>
  </si>
  <si>
    <t>GUTIERRES PARIONA, RAIMUNDA COCHARCAS</t>
  </si>
  <si>
    <t>CASTRO VENTURA, SONIA GULLIANA</t>
  </si>
  <si>
    <t>MEDINA ESCUDERO, RAYDA YULIZA</t>
  </si>
  <si>
    <t>GUTIERREZ RAMIREZ, GLORIA</t>
  </si>
  <si>
    <t>RUBUSTIANO GALINDO, GILBERTO</t>
  </si>
  <si>
    <t>PUCHURI HUAUYA, EPIFANIA</t>
  </si>
  <si>
    <t>SULCA PUCHORI DE PUCHURI, CANDELARIA</t>
  </si>
  <si>
    <t>MEDINA HUAMANI, RICARDO</t>
  </si>
  <si>
    <t>SULCA ROJAS, ALCIDES</t>
  </si>
  <si>
    <t>TITO CCENCHO, SEVERINO</t>
  </si>
  <si>
    <t>BELLIDO CONTI, HIPOLITA</t>
  </si>
  <si>
    <t>MEDINA PUCHURI, HERMINIA</t>
  </si>
  <si>
    <t>SUAREZ OSCORIMA, HERMELINDA BERNARDINA</t>
  </si>
  <si>
    <t>PEREZ PALOMINO, PEDRO FREDDY</t>
  </si>
  <si>
    <t>FLORES QUISPE DE GALINDO, MELANIA</t>
  </si>
  <si>
    <t>GARCIA YAUYO, MAXIMILIANA</t>
  </si>
  <si>
    <t>PUCHURI AROTINCO, ERCILIA</t>
  </si>
  <si>
    <t>GONZALES MEDINA, MARIA LEONCIA</t>
  </si>
  <si>
    <t>RAMOS BELLIDO, YENNY EDELMIRA</t>
  </si>
  <si>
    <t>CONTRERAS DE LA CRUZ VDA DE MEDINA, VICTORIA</t>
  </si>
  <si>
    <t>PARIONA SULCA, ADULIA</t>
  </si>
  <si>
    <t>GALINDO MEDINA, VICTORIA</t>
  </si>
  <si>
    <t>MEDINA SULCA, CRECENCIA</t>
  </si>
  <si>
    <t>CUARESMA DE MEDINA, PELAGIA</t>
  </si>
  <si>
    <t>PUSARI GUTIERREZ, DINA ERMERITA</t>
  </si>
  <si>
    <t>BELLIDO MEDINA, VALERIANA</t>
  </si>
  <si>
    <t>MEDINA PUSARI, PLACIDA</t>
  </si>
  <si>
    <t>RAMOS PUCHURI, ISAAC</t>
  </si>
  <si>
    <t>BELLIDO ZALAZAR, MANUEL ENRRIQUE</t>
  </si>
  <si>
    <t>PARIONA MEDINA, FLORENCIA</t>
  </si>
  <si>
    <t>GALINDO FLORES, ROLIZA</t>
  </si>
  <si>
    <t>MEDINA QUISPE, PANFILA CLOTILDE</t>
  </si>
  <si>
    <t>PARIONA ROJAS, VILMA DELIA</t>
  </si>
  <si>
    <t>GUTIERREZ DE PUSARI, OCTAVIA</t>
  </si>
  <si>
    <t>SALAZAR RAMIREZ, TEOFILA</t>
  </si>
  <si>
    <t>ROJAS CAJIALLA, GLADIS EPIFANIA</t>
  </si>
  <si>
    <t>FLORES SULCA, JESUSA</t>
  </si>
  <si>
    <t>ASTUCHAO HUAMAN, EDILMIRA</t>
  </si>
  <si>
    <t>CASTAÑEDA HUAMAN, DORIS</t>
  </si>
  <si>
    <t>ESPIRILLA CUEVA, UBALDINA</t>
  </si>
  <si>
    <t>FLORES CONTRERAS, NORMA LOURDES</t>
  </si>
  <si>
    <t>HUAMAN SANCHEZ, MARIA</t>
  </si>
  <si>
    <t>QUISPIRIMA HUAMANI, NOHEMI QUISPIRIMA</t>
  </si>
  <si>
    <t>VILLEGAS BASTIDAS, EVANGELINA</t>
  </si>
  <si>
    <t>PILLACA DE PILLACA, PAULINA</t>
  </si>
  <si>
    <t>PADRON APURIMAC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</si>
</sst>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-0.249977111117893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0" fontId="0" fillId="33" borderId="0" xfId="0" applyFill="1"/>
    <xf numFmtId="0" fontId="16" fillId="35" borderId="0" xfId="0" applyFont="1" applyFill="1" applyAlignment="1">
      <alignment horizontal="center"/>
    </xf>
    <xf numFmtId="0" fontId="0" fillId="34" borderId="10" xfId="0" applyFill="1" applyBorder="1" applyAlignment="1">
      <alignment horizontal="center" vertical="center"/>
    </xf>
    <xf numFmtId="0" fontId="0" fillId="0" borderId="10" xfId="0" applyBorder="1"/>
    <xf numFmtId="22" fontId="0" fillId="0" borderId="10" xfId="0" applyNumberFormat="1" applyBorder="1"/>
    <xf numFmtId="0" fontId="0" fillId="33" borderId="10" xfId="0" applyFill="1" applyBorder="1"/>
    <xf numFmtId="22" fontId="0" fillId="33" borderId="10" xfId="0" applyNumberFormat="1" applyFill="1" applyBorder="1"/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616"/>
  <sheetViews>
    <sheetView tabSelected="1" zoomScaleNormal="100" workbookViewId="0">
      <selection sqref="A1:F1"/>
    </sheetView>
  </sheetViews>
  <sheetFormatPr baseColWidth="10" defaultRowHeight="15" x14ac:dyDescent="0.25"/>
  <cols>
    <col min="1" max="1" width="14.42578125" bestFit="1" customWidth="1"/>
    <col min="2" max="2" width="44" customWidth="1"/>
    <col min="3" max="3" width="18.7109375" bestFit="1" customWidth="1"/>
    <col min="4" max="5" width="16.5703125" bestFit="1" customWidth="1"/>
    <col min="6" max="6" width="28" bestFit="1" customWidth="1"/>
  </cols>
  <sheetData>
    <row r="1" spans="1:6" x14ac:dyDescent="0.25">
      <c r="A1" s="2" t="s">
        <v>9703</v>
      </c>
      <c r="B1" s="2"/>
      <c r="C1" s="2"/>
      <c r="D1" s="2"/>
      <c r="E1" s="2"/>
      <c r="F1" s="2"/>
    </row>
    <row r="2" spans="1:6" ht="21.75" customHeight="1" x14ac:dyDescent="0.25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</row>
    <row r="3" spans="1:6" x14ac:dyDescent="0.25">
      <c r="A3" s="4" t="str">
        <f>CONCATENATE("3071-0000-3179","")</f>
        <v>3071-0000-3179</v>
      </c>
      <c r="B3" s="4" t="s">
        <v>1286</v>
      </c>
      <c r="C3" s="5">
        <v>41489</v>
      </c>
      <c r="D3" s="5">
        <v>41549</v>
      </c>
      <c r="E3" s="4" t="s">
        <v>7</v>
      </c>
      <c r="F3" s="4" t="s">
        <v>808</v>
      </c>
    </row>
    <row r="4" spans="1:6" x14ac:dyDescent="0.25">
      <c r="A4" s="4" t="str">
        <f>CONCATENATE("3071-0000-3448","")</f>
        <v>3071-0000-3448</v>
      </c>
      <c r="B4" s="4" t="s">
        <v>1735</v>
      </c>
      <c r="C4" s="5">
        <v>41489</v>
      </c>
      <c r="D4" s="5">
        <v>41549</v>
      </c>
      <c r="E4" s="4" t="s">
        <v>1410</v>
      </c>
      <c r="F4" s="4" t="s">
        <v>1411</v>
      </c>
    </row>
    <row r="5" spans="1:6" x14ac:dyDescent="0.25">
      <c r="A5" s="4" t="str">
        <f>CONCATENATE("3071-0000-6136","")</f>
        <v>3071-0000-6136</v>
      </c>
      <c r="B5" s="4" t="s">
        <v>7645</v>
      </c>
      <c r="C5" s="5">
        <v>41489</v>
      </c>
      <c r="D5" s="5">
        <v>41549</v>
      </c>
      <c r="E5" s="4" t="s">
        <v>1410</v>
      </c>
      <c r="F5" s="4" t="s">
        <v>1410</v>
      </c>
    </row>
    <row r="6" spans="1:6" x14ac:dyDescent="0.25">
      <c r="A6" s="4" t="str">
        <f>CONCATENATE("3071-0000-4079","")</f>
        <v>3071-0000-4079</v>
      </c>
      <c r="B6" s="4" t="s">
        <v>3954</v>
      </c>
      <c r="C6" s="5">
        <v>41489</v>
      </c>
      <c r="D6" s="5">
        <v>41549</v>
      </c>
      <c r="E6" s="4" t="s">
        <v>7</v>
      </c>
      <c r="F6" s="4" t="s">
        <v>1419</v>
      </c>
    </row>
    <row r="7" spans="1:6" x14ac:dyDescent="0.25">
      <c r="A7" s="4" t="str">
        <f>CONCATENATE("3071-0000-4041","")</f>
        <v>3071-0000-4041</v>
      </c>
      <c r="B7" s="4" t="s">
        <v>3989</v>
      </c>
      <c r="C7" s="5">
        <v>41489</v>
      </c>
      <c r="D7" s="5">
        <v>41549</v>
      </c>
      <c r="E7" s="4" t="s">
        <v>7</v>
      </c>
      <c r="F7" s="4" t="s">
        <v>1419</v>
      </c>
    </row>
    <row r="8" spans="1:6" x14ac:dyDescent="0.25">
      <c r="A8" s="4" t="str">
        <f>CONCATENATE("3071-0000-6122","")</f>
        <v>3071-0000-6122</v>
      </c>
      <c r="B8" s="4" t="s">
        <v>7640</v>
      </c>
      <c r="C8" s="5">
        <v>41489</v>
      </c>
      <c r="D8" s="5">
        <v>41549</v>
      </c>
      <c r="E8" s="4" t="s">
        <v>1410</v>
      </c>
      <c r="F8" s="4" t="s">
        <v>1410</v>
      </c>
    </row>
    <row r="9" spans="1:6" x14ac:dyDescent="0.25">
      <c r="A9" s="4" t="str">
        <f>CONCATENATE("3071-0000-6119","")</f>
        <v>3071-0000-6119</v>
      </c>
      <c r="B9" s="4" t="s">
        <v>7639</v>
      </c>
      <c r="C9" s="5">
        <v>41489</v>
      </c>
      <c r="D9" s="5">
        <v>41549</v>
      </c>
      <c r="E9" s="4" t="s">
        <v>1410</v>
      </c>
      <c r="F9" s="4" t="s">
        <v>1410</v>
      </c>
    </row>
    <row r="10" spans="1:6" x14ac:dyDescent="0.25">
      <c r="A10" s="4" t="str">
        <f>CONCATENATE("3071-0000-6123","")</f>
        <v>3071-0000-6123</v>
      </c>
      <c r="B10" s="4" t="s">
        <v>7642</v>
      </c>
      <c r="C10" s="5">
        <v>41489</v>
      </c>
      <c r="D10" s="5">
        <v>41549</v>
      </c>
      <c r="E10" s="4" t="s">
        <v>1410</v>
      </c>
      <c r="F10" s="4" t="s">
        <v>1410</v>
      </c>
    </row>
    <row r="11" spans="1:6" x14ac:dyDescent="0.25">
      <c r="A11" s="4" t="str">
        <f>CONCATENATE("3071-0000-6114","")</f>
        <v>3071-0000-6114</v>
      </c>
      <c r="B11" s="4" t="s">
        <v>7711</v>
      </c>
      <c r="C11" s="5">
        <v>41489</v>
      </c>
      <c r="D11" s="5">
        <v>41549</v>
      </c>
      <c r="E11" s="4" t="s">
        <v>1410</v>
      </c>
      <c r="F11" s="4" t="s">
        <v>1410</v>
      </c>
    </row>
    <row r="12" spans="1:6" x14ac:dyDescent="0.25">
      <c r="A12" s="4" t="str">
        <f>CONCATENATE("3071-0000-6162","")</f>
        <v>3071-0000-6162</v>
      </c>
      <c r="B12" s="4" t="s">
        <v>7671</v>
      </c>
      <c r="C12" s="5">
        <v>41489</v>
      </c>
      <c r="D12" s="5">
        <v>41549</v>
      </c>
      <c r="E12" s="4" t="s">
        <v>1410</v>
      </c>
      <c r="F12" s="4" t="s">
        <v>1410</v>
      </c>
    </row>
    <row r="13" spans="1:6" x14ac:dyDescent="0.25">
      <c r="A13" s="4" t="str">
        <f>CONCATENATE("3071-0000-5995","")</f>
        <v>3071-0000-5995</v>
      </c>
      <c r="B13" s="4" t="s">
        <v>6966</v>
      </c>
      <c r="C13" s="5">
        <v>41489</v>
      </c>
      <c r="D13" s="5">
        <v>41549</v>
      </c>
      <c r="E13" s="4" t="s">
        <v>5185</v>
      </c>
      <c r="F13" s="4" t="s">
        <v>5185</v>
      </c>
    </row>
    <row r="14" spans="1:6" x14ac:dyDescent="0.25">
      <c r="A14" s="4" t="str">
        <f>CONCATENATE("3071-0000-5948","")</f>
        <v>3071-0000-5948</v>
      </c>
      <c r="B14" s="4" t="s">
        <v>7308</v>
      </c>
      <c r="C14" s="5">
        <v>41489</v>
      </c>
      <c r="D14" s="5">
        <v>41549</v>
      </c>
      <c r="E14" s="4" t="s">
        <v>5185</v>
      </c>
      <c r="F14" s="4" t="s">
        <v>5185</v>
      </c>
    </row>
    <row r="15" spans="1:6" x14ac:dyDescent="0.25">
      <c r="A15" s="4" t="str">
        <f>CONCATENATE("3071-0000-5944","")</f>
        <v>3071-0000-5944</v>
      </c>
      <c r="B15" s="4" t="s">
        <v>7296</v>
      </c>
      <c r="C15" s="5">
        <v>41489</v>
      </c>
      <c r="D15" s="5">
        <v>41549</v>
      </c>
      <c r="E15" s="4" t="s">
        <v>5185</v>
      </c>
      <c r="F15" s="4" t="s">
        <v>5185</v>
      </c>
    </row>
    <row r="16" spans="1:6" x14ac:dyDescent="0.25">
      <c r="A16" s="4" t="str">
        <f>CONCATENATE("3071-0000-6116","")</f>
        <v>3071-0000-6116</v>
      </c>
      <c r="B16" s="4" t="s">
        <v>7715</v>
      </c>
      <c r="C16" s="5">
        <v>41489</v>
      </c>
      <c r="D16" s="5">
        <v>41549</v>
      </c>
      <c r="E16" s="4" t="s">
        <v>1410</v>
      </c>
      <c r="F16" s="4" t="s">
        <v>1410</v>
      </c>
    </row>
    <row r="17" spans="1:6" x14ac:dyDescent="0.25">
      <c r="A17" s="4" t="str">
        <f>CONCATENATE("3071-0000-6144","")</f>
        <v>3071-0000-6144</v>
      </c>
      <c r="B17" s="4" t="s">
        <v>7710</v>
      </c>
      <c r="C17" s="5">
        <v>41489</v>
      </c>
      <c r="D17" s="5">
        <v>41549</v>
      </c>
      <c r="E17" s="4" t="s">
        <v>1410</v>
      </c>
      <c r="F17" s="4" t="s">
        <v>1410</v>
      </c>
    </row>
    <row r="18" spans="1:6" x14ac:dyDescent="0.25">
      <c r="A18" s="4" t="str">
        <f>CONCATENATE("3071-0000-6111","")</f>
        <v>3071-0000-6111</v>
      </c>
      <c r="B18" s="4" t="s">
        <v>7713</v>
      </c>
      <c r="C18" s="5">
        <v>41489</v>
      </c>
      <c r="D18" s="5">
        <v>41549</v>
      </c>
      <c r="E18" s="4" t="s">
        <v>1410</v>
      </c>
      <c r="F18" s="4" t="s">
        <v>1410</v>
      </c>
    </row>
    <row r="19" spans="1:6" x14ac:dyDescent="0.25">
      <c r="A19" s="4" t="str">
        <f>CONCATENATE("3071-0000-7103","")</f>
        <v>3071-0000-7103</v>
      </c>
      <c r="B19" s="4" t="s">
        <v>4763</v>
      </c>
      <c r="C19" s="5">
        <v>41489</v>
      </c>
      <c r="D19" s="5">
        <v>41549</v>
      </c>
      <c r="E19" s="4" t="s">
        <v>1410</v>
      </c>
      <c r="F19" s="4" t="s">
        <v>1410</v>
      </c>
    </row>
    <row r="20" spans="1:6" x14ac:dyDescent="0.25">
      <c r="A20" s="4" t="str">
        <f>CONCATENATE("3071-0000-6796","")</f>
        <v>3071-0000-6796</v>
      </c>
      <c r="B20" s="4" t="s">
        <v>8252</v>
      </c>
      <c r="C20" s="5">
        <v>41489</v>
      </c>
      <c r="D20" s="5">
        <v>41549</v>
      </c>
      <c r="E20" s="4" t="s">
        <v>1410</v>
      </c>
      <c r="F20" s="4" t="s">
        <v>8192</v>
      </c>
    </row>
    <row r="21" spans="1:6" x14ac:dyDescent="0.25">
      <c r="A21" s="4" t="str">
        <f>CONCATENATE("3071-0000-7100","")</f>
        <v>3071-0000-7100</v>
      </c>
      <c r="B21" s="4" t="s">
        <v>4756</v>
      </c>
      <c r="C21" s="5">
        <v>41489</v>
      </c>
      <c r="D21" s="5">
        <v>41549</v>
      </c>
      <c r="E21" s="4" t="s">
        <v>1410</v>
      </c>
      <c r="F21" s="4" t="s">
        <v>1410</v>
      </c>
    </row>
    <row r="22" spans="1:6" x14ac:dyDescent="0.25">
      <c r="A22" s="4" t="str">
        <f>CONCATENATE("3071-0000-0494","")</f>
        <v>3071-0000-0494</v>
      </c>
      <c r="B22" s="4" t="s">
        <v>165</v>
      </c>
      <c r="C22" s="5">
        <v>41489</v>
      </c>
      <c r="D22" s="5">
        <v>41549</v>
      </c>
      <c r="E22" s="4" t="s">
        <v>7</v>
      </c>
      <c r="F22" s="4" t="s">
        <v>7</v>
      </c>
    </row>
    <row r="23" spans="1:6" x14ac:dyDescent="0.25">
      <c r="A23" s="4" t="str">
        <f>CONCATENATE("3071-0000-8724","")</f>
        <v>3071-0000-8724</v>
      </c>
      <c r="B23" s="4" t="s">
        <v>6354</v>
      </c>
      <c r="C23" s="5">
        <v>41489</v>
      </c>
      <c r="D23" s="5">
        <v>41549</v>
      </c>
      <c r="E23" s="4" t="s">
        <v>5185</v>
      </c>
      <c r="F23" s="4" t="s">
        <v>5292</v>
      </c>
    </row>
    <row r="24" spans="1:6" x14ac:dyDescent="0.25">
      <c r="A24" s="4" t="str">
        <f>CONCATENATE("3071-0000-8290","")</f>
        <v>3071-0000-8290</v>
      </c>
      <c r="B24" s="4" t="s">
        <v>6229</v>
      </c>
      <c r="C24" s="5">
        <v>41489</v>
      </c>
      <c r="D24" s="5">
        <v>41549</v>
      </c>
      <c r="E24" s="4" t="s">
        <v>5185</v>
      </c>
      <c r="F24" s="4" t="s">
        <v>5185</v>
      </c>
    </row>
    <row r="25" spans="1:6" x14ac:dyDescent="0.25">
      <c r="A25" s="4" t="str">
        <f>CONCATENATE("3071-0000-5421","")</f>
        <v>3071-0000-5421</v>
      </c>
      <c r="B25" s="4" t="s">
        <v>6912</v>
      </c>
      <c r="C25" s="5">
        <v>41489</v>
      </c>
      <c r="D25" s="5">
        <v>41549</v>
      </c>
      <c r="E25" s="4" t="s">
        <v>5185</v>
      </c>
      <c r="F25" s="4" t="s">
        <v>5185</v>
      </c>
    </row>
    <row r="26" spans="1:6" x14ac:dyDescent="0.25">
      <c r="A26" s="4" t="str">
        <f>CONCATENATE("3071-0000-5423","")</f>
        <v>3071-0000-5423</v>
      </c>
      <c r="B26" s="4" t="s">
        <v>6918</v>
      </c>
      <c r="C26" s="5">
        <v>41489</v>
      </c>
      <c r="D26" s="5">
        <v>41549</v>
      </c>
      <c r="E26" s="4" t="s">
        <v>5185</v>
      </c>
      <c r="F26" s="4" t="s">
        <v>5185</v>
      </c>
    </row>
    <row r="27" spans="1:6" x14ac:dyDescent="0.25">
      <c r="A27" s="4" t="str">
        <f>CONCATENATE("3071-0000-9138","")</f>
        <v>3071-0000-9138</v>
      </c>
      <c r="B27" s="4" t="s">
        <v>5643</v>
      </c>
      <c r="C27" s="5">
        <v>41489</v>
      </c>
      <c r="D27" s="5">
        <v>41549</v>
      </c>
      <c r="E27" s="4" t="s">
        <v>5185</v>
      </c>
      <c r="F27" s="4" t="s">
        <v>5250</v>
      </c>
    </row>
    <row r="28" spans="1:6" x14ac:dyDescent="0.25">
      <c r="A28" s="4" t="str">
        <f>CONCATENATE("3071-0000-5131","")</f>
        <v>3071-0000-5131</v>
      </c>
      <c r="B28" s="4" t="s">
        <v>8956</v>
      </c>
      <c r="C28" s="5">
        <v>41489</v>
      </c>
      <c r="D28" s="5">
        <v>41549</v>
      </c>
      <c r="E28" s="4" t="s">
        <v>1410</v>
      </c>
      <c r="F28" s="4" t="s">
        <v>8903</v>
      </c>
    </row>
    <row r="29" spans="1:6" x14ac:dyDescent="0.25">
      <c r="A29" s="4" t="str">
        <f>CONCATENATE("3071-0000-4085","")</f>
        <v>3071-0000-4085</v>
      </c>
      <c r="B29" s="4" t="s">
        <v>3893</v>
      </c>
      <c r="C29" s="5">
        <v>41489</v>
      </c>
      <c r="D29" s="5">
        <v>41549</v>
      </c>
      <c r="E29" s="4" t="s">
        <v>7</v>
      </c>
      <c r="F29" s="4" t="s">
        <v>3818</v>
      </c>
    </row>
    <row r="30" spans="1:6" x14ac:dyDescent="0.25">
      <c r="A30" s="4" t="str">
        <f>CONCATENATE("3071-0000-1809","")</f>
        <v>3071-0000-1809</v>
      </c>
      <c r="B30" s="4" t="s">
        <v>2771</v>
      </c>
      <c r="C30" s="5">
        <v>41489</v>
      </c>
      <c r="D30" s="5">
        <v>41549</v>
      </c>
      <c r="E30" s="4" t="s">
        <v>1381</v>
      </c>
      <c r="F30" s="4" t="s">
        <v>1382</v>
      </c>
    </row>
    <row r="31" spans="1:6" x14ac:dyDescent="0.25">
      <c r="A31" s="4" t="str">
        <f>CONCATENATE("3071-0000-7061","")</f>
        <v>3071-0000-7061</v>
      </c>
      <c r="B31" s="4" t="s">
        <v>4849</v>
      </c>
      <c r="C31" s="5">
        <v>41489</v>
      </c>
      <c r="D31" s="5">
        <v>41549</v>
      </c>
      <c r="E31" s="4" t="s">
        <v>1410</v>
      </c>
      <c r="F31" s="4" t="s">
        <v>1410</v>
      </c>
    </row>
    <row r="32" spans="1:6" x14ac:dyDescent="0.25">
      <c r="A32" s="4" t="str">
        <f>CONCATENATE("3071-0000-1119","")</f>
        <v>3071-0000-1119</v>
      </c>
      <c r="B32" s="4" t="s">
        <v>2066</v>
      </c>
      <c r="C32" s="5">
        <v>41489</v>
      </c>
      <c r="D32" s="5">
        <v>41549</v>
      </c>
      <c r="E32" s="4" t="s">
        <v>1857</v>
      </c>
      <c r="F32" s="4" t="s">
        <v>2056</v>
      </c>
    </row>
    <row r="33" spans="1:6" x14ac:dyDescent="0.25">
      <c r="A33" s="4" t="str">
        <f>CONCATENATE("3071-0000-1556","")</f>
        <v>3071-0000-1556</v>
      </c>
      <c r="B33" s="4" t="s">
        <v>2458</v>
      </c>
      <c r="C33" s="5">
        <v>41489</v>
      </c>
      <c r="D33" s="5">
        <v>41549</v>
      </c>
      <c r="E33" s="4" t="s">
        <v>1381</v>
      </c>
      <c r="F33" s="4" t="s">
        <v>2303</v>
      </c>
    </row>
    <row r="34" spans="1:6" x14ac:dyDescent="0.25">
      <c r="A34" s="4" t="str">
        <f>CONCATENATE("3071-0000-1847","")</f>
        <v>3071-0000-1847</v>
      </c>
      <c r="B34" s="4" t="s">
        <v>2337</v>
      </c>
      <c r="C34" s="5">
        <v>41489</v>
      </c>
      <c r="D34" s="5">
        <v>41549</v>
      </c>
      <c r="E34" s="4" t="s">
        <v>1381</v>
      </c>
      <c r="F34" s="4" t="s">
        <v>2319</v>
      </c>
    </row>
    <row r="35" spans="1:6" x14ac:dyDescent="0.25">
      <c r="A35" s="4" t="str">
        <f>CONCATENATE("3071-0000-1240","")</f>
        <v>3071-0000-1240</v>
      </c>
      <c r="B35" s="4" t="s">
        <v>2324</v>
      </c>
      <c r="C35" s="5">
        <v>41489</v>
      </c>
      <c r="D35" s="5">
        <v>41549</v>
      </c>
      <c r="E35" s="4" t="s">
        <v>1381</v>
      </c>
      <c r="F35" s="4" t="s">
        <v>2303</v>
      </c>
    </row>
    <row r="36" spans="1:6" x14ac:dyDescent="0.25">
      <c r="A36" s="4" t="str">
        <f>CONCATENATE("3071-0000-2268","")</f>
        <v>3071-0000-2268</v>
      </c>
      <c r="B36" s="4" t="s">
        <v>3790</v>
      </c>
      <c r="C36" s="5">
        <v>41489</v>
      </c>
      <c r="D36" s="5">
        <v>41549</v>
      </c>
      <c r="E36" s="4" t="s">
        <v>2944</v>
      </c>
      <c r="F36" s="4" t="s">
        <v>2945</v>
      </c>
    </row>
    <row r="37" spans="1:6" x14ac:dyDescent="0.25">
      <c r="A37" s="4" t="str">
        <f>CONCATENATE("3071-0000-0695","")</f>
        <v>3071-0000-0695</v>
      </c>
      <c r="B37" s="4" t="s">
        <v>291</v>
      </c>
      <c r="C37" s="5">
        <v>41489</v>
      </c>
      <c r="D37" s="5">
        <v>41549</v>
      </c>
      <c r="E37" s="4" t="s">
        <v>7</v>
      </c>
      <c r="F37" s="4" t="s">
        <v>7</v>
      </c>
    </row>
    <row r="38" spans="1:6" x14ac:dyDescent="0.25">
      <c r="A38" s="4" t="str">
        <f>CONCATENATE("3071-0000-2442","")</f>
        <v>3071-0000-2442</v>
      </c>
      <c r="B38" s="4" t="s">
        <v>3792</v>
      </c>
      <c r="C38" s="5">
        <v>41489</v>
      </c>
      <c r="D38" s="5">
        <v>41549</v>
      </c>
      <c r="E38" s="4" t="s">
        <v>2944</v>
      </c>
      <c r="F38" s="4" t="s">
        <v>3115</v>
      </c>
    </row>
    <row r="39" spans="1:6" x14ac:dyDescent="0.25">
      <c r="A39" s="4" t="str">
        <f>CONCATENATE("3071-0000-1314","")</f>
        <v>3071-0000-1314</v>
      </c>
      <c r="B39" s="4" t="s">
        <v>2436</v>
      </c>
      <c r="C39" s="5">
        <v>41489</v>
      </c>
      <c r="D39" s="5">
        <v>41549</v>
      </c>
      <c r="E39" s="4" t="s">
        <v>1381</v>
      </c>
      <c r="F39" s="4" t="s">
        <v>2303</v>
      </c>
    </row>
    <row r="40" spans="1:6" x14ac:dyDescent="0.25">
      <c r="A40" s="4" t="str">
        <f>CONCATENATE("3071-0000-0398","")</f>
        <v>3071-0000-0398</v>
      </c>
      <c r="B40" s="4" t="s">
        <v>719</v>
      </c>
      <c r="C40" s="5">
        <v>41489</v>
      </c>
      <c r="D40" s="5">
        <v>41549</v>
      </c>
      <c r="E40" s="4" t="s">
        <v>7</v>
      </c>
      <c r="F40" s="4" t="s">
        <v>7</v>
      </c>
    </row>
    <row r="41" spans="1:6" x14ac:dyDescent="0.25">
      <c r="A41" s="4" t="str">
        <f>CONCATENATE("3071-0000-7351","")</f>
        <v>3071-0000-7351</v>
      </c>
      <c r="B41" s="4" t="s">
        <v>4543</v>
      </c>
      <c r="C41" s="5">
        <v>41489</v>
      </c>
      <c r="D41" s="5">
        <v>41549</v>
      </c>
      <c r="E41" s="4" t="s">
        <v>1410</v>
      </c>
      <c r="F41" s="4" t="s">
        <v>1410</v>
      </c>
    </row>
    <row r="42" spans="1:6" x14ac:dyDescent="0.25">
      <c r="A42" s="4" t="str">
        <f>CONCATENATE("3071-0000-5334","")</f>
        <v>3071-0000-5334</v>
      </c>
      <c r="B42" s="4" t="s">
        <v>6814</v>
      </c>
      <c r="C42" s="5">
        <v>41489</v>
      </c>
      <c r="D42" s="5">
        <v>41549</v>
      </c>
      <c r="E42" s="4" t="s">
        <v>5185</v>
      </c>
      <c r="F42" s="4" t="s">
        <v>5185</v>
      </c>
    </row>
    <row r="43" spans="1:6" x14ac:dyDescent="0.25">
      <c r="A43" s="4" t="str">
        <f>CONCATENATE("3071-0000-7673","")</f>
        <v>3071-0000-7673</v>
      </c>
      <c r="B43" s="4" t="s">
        <v>5164</v>
      </c>
      <c r="C43" s="5">
        <v>41489</v>
      </c>
      <c r="D43" s="5">
        <v>41549</v>
      </c>
      <c r="E43" s="4" t="s">
        <v>1410</v>
      </c>
      <c r="F43" s="4" t="s">
        <v>4616</v>
      </c>
    </row>
    <row r="44" spans="1:6" x14ac:dyDescent="0.25">
      <c r="A44" s="4" t="str">
        <f>CONCATENATE("3071-0000-7858","")</f>
        <v>3071-0000-7858</v>
      </c>
      <c r="B44" s="4" t="s">
        <v>6319</v>
      </c>
      <c r="C44" s="5">
        <v>41489</v>
      </c>
      <c r="D44" s="5">
        <v>41549</v>
      </c>
      <c r="E44" s="4" t="s">
        <v>5185</v>
      </c>
      <c r="F44" s="4" t="s">
        <v>5185</v>
      </c>
    </row>
    <row r="45" spans="1:6" x14ac:dyDescent="0.25">
      <c r="A45" s="4" t="str">
        <f>CONCATENATE("3071-0000-5495","")</f>
        <v>3071-0000-5495</v>
      </c>
      <c r="B45" s="4" t="s">
        <v>6829</v>
      </c>
      <c r="C45" s="5">
        <v>41489</v>
      </c>
      <c r="D45" s="5">
        <v>41549</v>
      </c>
      <c r="E45" s="4" t="s">
        <v>1410</v>
      </c>
      <c r="F45" s="4" t="s">
        <v>6635</v>
      </c>
    </row>
    <row r="46" spans="1:6" x14ac:dyDescent="0.25">
      <c r="A46" s="4" t="str">
        <f>CONCATENATE("3071-0000-7837","")</f>
        <v>3071-0000-7837</v>
      </c>
      <c r="B46" s="4" t="s">
        <v>5949</v>
      </c>
      <c r="C46" s="5">
        <v>41489</v>
      </c>
      <c r="D46" s="5">
        <v>41549</v>
      </c>
      <c r="E46" s="4" t="s">
        <v>5185</v>
      </c>
      <c r="F46" s="4" t="s">
        <v>5185</v>
      </c>
    </row>
    <row r="47" spans="1:6" x14ac:dyDescent="0.25">
      <c r="A47" s="4" t="str">
        <f>CONCATENATE("3071-0000-5500","")</f>
        <v>3071-0000-5500</v>
      </c>
      <c r="B47" s="4" t="s">
        <v>6797</v>
      </c>
      <c r="C47" s="5">
        <v>41489</v>
      </c>
      <c r="D47" s="5">
        <v>41549</v>
      </c>
      <c r="E47" s="4" t="s">
        <v>1410</v>
      </c>
      <c r="F47" s="4" t="s">
        <v>6798</v>
      </c>
    </row>
    <row r="48" spans="1:6" x14ac:dyDescent="0.25">
      <c r="A48" s="4" t="str">
        <f>CONCATENATE("3071-0000-9005","")</f>
        <v>3071-0000-9005</v>
      </c>
      <c r="B48" s="4" t="s">
        <v>6332</v>
      </c>
      <c r="C48" s="5">
        <v>41489</v>
      </c>
      <c r="D48" s="5">
        <v>41549</v>
      </c>
      <c r="E48" s="4" t="s">
        <v>5185</v>
      </c>
      <c r="F48" s="4" t="s">
        <v>5292</v>
      </c>
    </row>
    <row r="49" spans="1:6" x14ac:dyDescent="0.25">
      <c r="A49" s="4" t="str">
        <f>CONCATENATE("3071-0000-7854","")</f>
        <v>3071-0000-7854</v>
      </c>
      <c r="B49" s="4" t="s">
        <v>6311</v>
      </c>
      <c r="C49" s="5">
        <v>41489</v>
      </c>
      <c r="D49" s="5">
        <v>41549</v>
      </c>
      <c r="E49" s="4" t="s">
        <v>5185</v>
      </c>
      <c r="F49" s="4" t="s">
        <v>5185</v>
      </c>
    </row>
    <row r="50" spans="1:6" x14ac:dyDescent="0.25">
      <c r="A50" s="4" t="str">
        <f>CONCATENATE("3071-0000-1955","")</f>
        <v>3071-0000-1955</v>
      </c>
      <c r="B50" s="4" t="s">
        <v>3066</v>
      </c>
      <c r="C50" s="5">
        <v>41489</v>
      </c>
      <c r="D50" s="5">
        <v>41549</v>
      </c>
      <c r="E50" s="4" t="s">
        <v>2944</v>
      </c>
      <c r="F50" s="4" t="s">
        <v>2945</v>
      </c>
    </row>
    <row r="51" spans="1:6" x14ac:dyDescent="0.25">
      <c r="A51" s="4" t="str">
        <f>CONCATENATE("3071-0000-2378","")</f>
        <v>3071-0000-2378</v>
      </c>
      <c r="B51" s="4" t="s">
        <v>3704</v>
      </c>
      <c r="C51" s="5">
        <v>41489</v>
      </c>
      <c r="D51" s="5">
        <v>41549</v>
      </c>
      <c r="E51" s="4" t="s">
        <v>2944</v>
      </c>
      <c r="F51" s="4" t="s">
        <v>2945</v>
      </c>
    </row>
    <row r="52" spans="1:6" x14ac:dyDescent="0.25">
      <c r="A52" s="4" t="str">
        <f>CONCATENATE("3071-0000-1552","")</f>
        <v>3071-0000-1552</v>
      </c>
      <c r="B52" s="4" t="s">
        <v>2338</v>
      </c>
      <c r="C52" s="5">
        <v>41489</v>
      </c>
      <c r="D52" s="5">
        <v>41549</v>
      </c>
      <c r="E52" s="4" t="s">
        <v>1381</v>
      </c>
      <c r="F52" s="4" t="s">
        <v>2303</v>
      </c>
    </row>
    <row r="53" spans="1:6" x14ac:dyDescent="0.25">
      <c r="A53" s="4" t="str">
        <f>CONCATENATE("3071-0000-0690","")</f>
        <v>3071-0000-0690</v>
      </c>
      <c r="B53" s="4" t="s">
        <v>296</v>
      </c>
      <c r="C53" s="5">
        <v>41489</v>
      </c>
      <c r="D53" s="5">
        <v>41549</v>
      </c>
      <c r="E53" s="4" t="s">
        <v>7</v>
      </c>
      <c r="F53" s="4" t="s">
        <v>273</v>
      </c>
    </row>
    <row r="54" spans="1:6" x14ac:dyDescent="0.25">
      <c r="A54" s="4" t="str">
        <f>CONCATENATE("3071-0000-1447","")</f>
        <v>3071-0000-1447</v>
      </c>
      <c r="B54" s="4" t="s">
        <v>2685</v>
      </c>
      <c r="C54" s="5">
        <v>41489</v>
      </c>
      <c r="D54" s="5">
        <v>41549</v>
      </c>
      <c r="E54" s="4" t="s">
        <v>1381</v>
      </c>
      <c r="F54" s="4" t="s">
        <v>2303</v>
      </c>
    </row>
    <row r="55" spans="1:6" x14ac:dyDescent="0.25">
      <c r="A55" s="4" t="str">
        <f>CONCATENATE("3071-0000-1243","")</f>
        <v>3071-0000-1243</v>
      </c>
      <c r="B55" s="4" t="s">
        <v>2329</v>
      </c>
      <c r="C55" s="5">
        <v>41489</v>
      </c>
      <c r="D55" s="5">
        <v>41549</v>
      </c>
      <c r="E55" s="4" t="s">
        <v>1381</v>
      </c>
      <c r="F55" s="4" t="s">
        <v>2303</v>
      </c>
    </row>
    <row r="56" spans="1:6" x14ac:dyDescent="0.25">
      <c r="A56" s="4" t="str">
        <f>CONCATENATE("3071-0000-1524","")</f>
        <v>3071-0000-1524</v>
      </c>
      <c r="B56" s="4" t="s">
        <v>2872</v>
      </c>
      <c r="C56" s="5">
        <v>41489</v>
      </c>
      <c r="D56" s="5">
        <v>41549</v>
      </c>
      <c r="E56" s="4" t="s">
        <v>1381</v>
      </c>
      <c r="F56" s="4" t="s">
        <v>2303</v>
      </c>
    </row>
    <row r="57" spans="1:6" x14ac:dyDescent="0.25">
      <c r="A57" s="4" t="str">
        <f>CONCATENATE("3071-0000-6652","")</f>
        <v>3071-0000-6652</v>
      </c>
      <c r="B57" s="4" t="s">
        <v>8242</v>
      </c>
      <c r="C57" s="5">
        <v>41489</v>
      </c>
      <c r="D57" s="5">
        <v>41549</v>
      </c>
      <c r="E57" s="4" t="s">
        <v>5185</v>
      </c>
      <c r="F57" s="4" t="s">
        <v>5185</v>
      </c>
    </row>
    <row r="58" spans="1:6" x14ac:dyDescent="0.25">
      <c r="A58" s="4" t="str">
        <f>CONCATENATE("3071-0000-3027","")</f>
        <v>3071-0000-3027</v>
      </c>
      <c r="B58" s="4" t="s">
        <v>1229</v>
      </c>
      <c r="C58" s="5">
        <v>41489</v>
      </c>
      <c r="D58" s="5">
        <v>41549</v>
      </c>
      <c r="E58" s="4" t="s">
        <v>7</v>
      </c>
      <c r="F58" s="4" t="s">
        <v>808</v>
      </c>
    </row>
    <row r="59" spans="1:6" x14ac:dyDescent="0.25">
      <c r="A59" s="4" t="str">
        <f>CONCATENATE("3071-0000-1248","")</f>
        <v>3071-0000-1248</v>
      </c>
      <c r="B59" s="4" t="s">
        <v>2333</v>
      </c>
      <c r="C59" s="5">
        <v>41489</v>
      </c>
      <c r="D59" s="5">
        <v>41549</v>
      </c>
      <c r="E59" s="4" t="s">
        <v>1381</v>
      </c>
      <c r="F59" s="4" t="s">
        <v>2303</v>
      </c>
    </row>
    <row r="60" spans="1:6" x14ac:dyDescent="0.25">
      <c r="A60" s="4" t="str">
        <f>CONCATENATE("3071-0000-1693","")</f>
        <v>3071-0000-1693</v>
      </c>
      <c r="B60" s="4" t="s">
        <v>2783</v>
      </c>
      <c r="C60" s="5">
        <v>41489</v>
      </c>
      <c r="D60" s="5">
        <v>41549</v>
      </c>
      <c r="E60" s="4" t="s">
        <v>1381</v>
      </c>
      <c r="F60" s="4" t="s">
        <v>2533</v>
      </c>
    </row>
    <row r="61" spans="1:6" x14ac:dyDescent="0.25">
      <c r="A61" s="4" t="str">
        <f>CONCATENATE("3071-0000-1282","")</f>
        <v>3071-0000-1282</v>
      </c>
      <c r="B61" s="4" t="s">
        <v>2391</v>
      </c>
      <c r="C61" s="5">
        <v>41489</v>
      </c>
      <c r="D61" s="5">
        <v>41549</v>
      </c>
      <c r="E61" s="4" t="s">
        <v>1381</v>
      </c>
      <c r="F61" s="4" t="s">
        <v>2303</v>
      </c>
    </row>
    <row r="62" spans="1:6" x14ac:dyDescent="0.25">
      <c r="A62" s="4" t="str">
        <f>CONCATENATE("3071-0000-1675","")</f>
        <v>3071-0000-1675</v>
      </c>
      <c r="B62" s="4" t="s">
        <v>2597</v>
      </c>
      <c r="C62" s="5">
        <v>41489</v>
      </c>
      <c r="D62" s="5">
        <v>41549</v>
      </c>
      <c r="E62" s="4" t="s">
        <v>1381</v>
      </c>
      <c r="F62" s="4" t="s">
        <v>2303</v>
      </c>
    </row>
    <row r="63" spans="1:6" x14ac:dyDescent="0.25">
      <c r="A63" s="4" t="str">
        <f>CONCATENATE("3071-0000-1394","")</f>
        <v>3071-0000-1394</v>
      </c>
      <c r="B63" s="4" t="s">
        <v>2575</v>
      </c>
      <c r="C63" s="5">
        <v>41489</v>
      </c>
      <c r="D63" s="5">
        <v>41549</v>
      </c>
      <c r="E63" s="4" t="s">
        <v>1381</v>
      </c>
      <c r="F63" s="4" t="s">
        <v>2303</v>
      </c>
    </row>
    <row r="64" spans="1:6" x14ac:dyDescent="0.25">
      <c r="A64" s="4" t="str">
        <f>CONCATENATE("3071-0000-7211","")</f>
        <v>3071-0000-7211</v>
      </c>
      <c r="B64" s="4" t="s">
        <v>5106</v>
      </c>
      <c r="C64" s="5">
        <v>41489</v>
      </c>
      <c r="D64" s="5">
        <v>41549</v>
      </c>
      <c r="E64" s="4" t="s">
        <v>1410</v>
      </c>
      <c r="F64" s="4" t="s">
        <v>1410</v>
      </c>
    </row>
    <row r="65" spans="1:6" x14ac:dyDescent="0.25">
      <c r="A65" s="4" t="str">
        <f>CONCATENATE("3071-0000-1366","")</f>
        <v>3071-0000-1366</v>
      </c>
      <c r="B65" s="4" t="s">
        <v>2520</v>
      </c>
      <c r="C65" s="5">
        <v>41489</v>
      </c>
      <c r="D65" s="5">
        <v>41549</v>
      </c>
      <c r="E65" s="4" t="s">
        <v>1381</v>
      </c>
      <c r="F65" s="4" t="s">
        <v>2303</v>
      </c>
    </row>
    <row r="66" spans="1:6" x14ac:dyDescent="0.25">
      <c r="A66" s="4" t="str">
        <f>CONCATENATE("3071-0000-7833","")</f>
        <v>3071-0000-7833</v>
      </c>
      <c r="B66" s="4" t="s">
        <v>5819</v>
      </c>
      <c r="C66" s="5">
        <v>41489</v>
      </c>
      <c r="D66" s="5">
        <v>41549</v>
      </c>
      <c r="E66" s="4" t="s">
        <v>5185</v>
      </c>
      <c r="F66" s="4" t="s">
        <v>5185</v>
      </c>
    </row>
    <row r="67" spans="1:6" x14ac:dyDescent="0.25">
      <c r="A67" s="4" t="str">
        <f>CONCATENATE("3071-0000-8344","")</f>
        <v>3071-0000-8344</v>
      </c>
      <c r="B67" s="4" t="s">
        <v>6043</v>
      </c>
      <c r="C67" s="5">
        <v>41489</v>
      </c>
      <c r="D67" s="5">
        <v>41549</v>
      </c>
      <c r="E67" s="4" t="s">
        <v>5185</v>
      </c>
      <c r="F67" s="4" t="s">
        <v>5185</v>
      </c>
    </row>
    <row r="68" spans="1:6" x14ac:dyDescent="0.25">
      <c r="A68" s="4" t="str">
        <f>CONCATENATE("3071-0000-0367","")</f>
        <v>3071-0000-0367</v>
      </c>
      <c r="B68" s="4" t="s">
        <v>318</v>
      </c>
      <c r="C68" s="5">
        <v>41489</v>
      </c>
      <c r="D68" s="5">
        <v>41549</v>
      </c>
      <c r="E68" s="4" t="s">
        <v>7</v>
      </c>
      <c r="F68" s="4" t="s">
        <v>7</v>
      </c>
    </row>
    <row r="69" spans="1:6" x14ac:dyDescent="0.25">
      <c r="A69" s="4" t="str">
        <f>CONCATENATE("3071-0000-0674","")</f>
        <v>3071-0000-0674</v>
      </c>
      <c r="B69" s="4" t="s">
        <v>284</v>
      </c>
      <c r="C69" s="5">
        <v>41489</v>
      </c>
      <c r="D69" s="5">
        <v>41549</v>
      </c>
      <c r="E69" s="4" t="s">
        <v>7</v>
      </c>
      <c r="F69" s="4" t="s">
        <v>273</v>
      </c>
    </row>
    <row r="70" spans="1:6" x14ac:dyDescent="0.25">
      <c r="A70" s="4" t="str">
        <f>CONCATENATE("3071-0000-0158","")</f>
        <v>3071-0000-0158</v>
      </c>
      <c r="B70" s="4" t="s">
        <v>337</v>
      </c>
      <c r="C70" s="5">
        <v>41489</v>
      </c>
      <c r="D70" s="5">
        <v>41549</v>
      </c>
      <c r="E70" s="4" t="s">
        <v>7</v>
      </c>
      <c r="F70" s="4" t="s">
        <v>7</v>
      </c>
    </row>
    <row r="71" spans="1:6" x14ac:dyDescent="0.25">
      <c r="A71" s="4" t="str">
        <f>CONCATENATE("3071-0000-1919","")</f>
        <v>3071-0000-1919</v>
      </c>
      <c r="B71" s="4" t="s">
        <v>3075</v>
      </c>
      <c r="C71" s="5">
        <v>41489</v>
      </c>
      <c r="D71" s="5">
        <v>41549</v>
      </c>
      <c r="E71" s="4" t="s">
        <v>2944</v>
      </c>
      <c r="F71" s="4" t="s">
        <v>2945</v>
      </c>
    </row>
    <row r="72" spans="1:6" x14ac:dyDescent="0.25">
      <c r="A72" s="4" t="str">
        <f>CONCATENATE("3071-0000-1920","")</f>
        <v>3071-0000-1920</v>
      </c>
      <c r="B72" s="4" t="s">
        <v>3077</v>
      </c>
      <c r="C72" s="5">
        <v>41489</v>
      </c>
      <c r="D72" s="5">
        <v>41549</v>
      </c>
      <c r="E72" s="4" t="s">
        <v>2944</v>
      </c>
      <c r="F72" s="4" t="s">
        <v>2945</v>
      </c>
    </row>
    <row r="73" spans="1:6" x14ac:dyDescent="0.25">
      <c r="A73" s="4" t="str">
        <f>CONCATENATE("3071-0000-7197","")</f>
        <v>3071-0000-7197</v>
      </c>
      <c r="B73" s="4" t="s">
        <v>5046</v>
      </c>
      <c r="C73" s="5">
        <v>41489</v>
      </c>
      <c r="D73" s="5">
        <v>41549</v>
      </c>
      <c r="E73" s="4" t="s">
        <v>1410</v>
      </c>
      <c r="F73" s="4" t="s">
        <v>1410</v>
      </c>
    </row>
    <row r="74" spans="1:6" x14ac:dyDescent="0.25">
      <c r="A74" s="4" t="str">
        <f>CONCATENATE("3071-0000-6927","")</f>
        <v>3071-0000-6927</v>
      </c>
      <c r="B74" s="4" t="s">
        <v>4590</v>
      </c>
      <c r="C74" s="5">
        <v>41489</v>
      </c>
      <c r="D74" s="5">
        <v>41549</v>
      </c>
      <c r="E74" s="4" t="s">
        <v>1410</v>
      </c>
      <c r="F74" s="4" t="s">
        <v>1410</v>
      </c>
    </row>
    <row r="75" spans="1:6" x14ac:dyDescent="0.25">
      <c r="A75" s="4" t="str">
        <f>CONCATENATE("3071-0000-9197","")</f>
        <v>3071-0000-9197</v>
      </c>
      <c r="B75" s="4" t="s">
        <v>5432</v>
      </c>
      <c r="C75" s="5">
        <v>41489</v>
      </c>
      <c r="D75" s="5">
        <v>41549</v>
      </c>
      <c r="E75" s="4" t="s">
        <v>1410</v>
      </c>
      <c r="F75" s="4" t="s">
        <v>4616</v>
      </c>
    </row>
    <row r="76" spans="1:6" x14ac:dyDescent="0.25">
      <c r="A76" s="4" t="str">
        <f>CONCATENATE("3071-0000-5411","")</f>
        <v>3071-0000-5411</v>
      </c>
      <c r="B76" s="4" t="s">
        <v>6633</v>
      </c>
      <c r="C76" s="5">
        <v>41489</v>
      </c>
      <c r="D76" s="5">
        <v>41549</v>
      </c>
      <c r="E76" s="4" t="s">
        <v>5185</v>
      </c>
      <c r="F76" s="4" t="s">
        <v>5185</v>
      </c>
    </row>
    <row r="77" spans="1:6" x14ac:dyDescent="0.25">
      <c r="A77" s="4" t="str">
        <f>CONCATENATE("3071-0000-7296","")</f>
        <v>3071-0000-7296</v>
      </c>
      <c r="B77" s="4" t="s">
        <v>5094</v>
      </c>
      <c r="C77" s="5">
        <v>41489</v>
      </c>
      <c r="D77" s="5">
        <v>41549</v>
      </c>
      <c r="E77" s="4" t="s">
        <v>1410</v>
      </c>
      <c r="F77" s="4" t="s">
        <v>4616</v>
      </c>
    </row>
    <row r="78" spans="1:6" x14ac:dyDescent="0.25">
      <c r="A78" s="4" t="str">
        <f>CONCATENATE("3071-0000-8371","")</f>
        <v>3071-0000-8371</v>
      </c>
      <c r="B78" s="4" t="s">
        <v>5425</v>
      </c>
      <c r="C78" s="5">
        <v>41489</v>
      </c>
      <c r="D78" s="5">
        <v>41549</v>
      </c>
      <c r="E78" s="4" t="s">
        <v>5185</v>
      </c>
      <c r="F78" s="4" t="s">
        <v>5185</v>
      </c>
    </row>
    <row r="79" spans="1:6" x14ac:dyDescent="0.25">
      <c r="A79" s="4" t="str">
        <f>CONCATENATE("3071-0000-6875","")</f>
        <v>3071-0000-6875</v>
      </c>
      <c r="B79" s="4" t="s">
        <v>5058</v>
      </c>
      <c r="C79" s="5">
        <v>41489</v>
      </c>
      <c r="D79" s="5">
        <v>41549</v>
      </c>
      <c r="E79" s="4" t="s">
        <v>1410</v>
      </c>
      <c r="F79" s="4" t="s">
        <v>4616</v>
      </c>
    </row>
    <row r="80" spans="1:6" x14ac:dyDescent="0.25">
      <c r="A80" s="4" t="str">
        <f>CONCATENATE("3071-0000-7401","")</f>
        <v>3071-0000-7401</v>
      </c>
      <c r="B80" s="4" t="s">
        <v>5092</v>
      </c>
      <c r="C80" s="5">
        <v>41489</v>
      </c>
      <c r="D80" s="5">
        <v>41549</v>
      </c>
      <c r="E80" s="4" t="s">
        <v>1410</v>
      </c>
      <c r="F80" s="4" t="s">
        <v>1410</v>
      </c>
    </row>
    <row r="81" spans="1:6" x14ac:dyDescent="0.25">
      <c r="A81" s="4" t="str">
        <f>CONCATENATE("3071-0000-4405","")</f>
        <v>3071-0000-4405</v>
      </c>
      <c r="B81" s="4" t="s">
        <v>9261</v>
      </c>
      <c r="C81" s="5">
        <v>41489</v>
      </c>
      <c r="D81" s="5">
        <v>41549</v>
      </c>
      <c r="E81" s="4" t="s">
        <v>1410</v>
      </c>
      <c r="F81" s="4" t="s">
        <v>8696</v>
      </c>
    </row>
    <row r="82" spans="1:6" x14ac:dyDescent="0.25">
      <c r="A82" s="4" t="str">
        <f>CONCATENATE("3071-0000-3014","")</f>
        <v>3071-0000-3014</v>
      </c>
      <c r="B82" s="4" t="s">
        <v>1238</v>
      </c>
      <c r="C82" s="5">
        <v>41489</v>
      </c>
      <c r="D82" s="5">
        <v>41549</v>
      </c>
      <c r="E82" s="4" t="s">
        <v>7</v>
      </c>
      <c r="F82" s="4" t="s">
        <v>808</v>
      </c>
    </row>
    <row r="83" spans="1:6" x14ac:dyDescent="0.25">
      <c r="A83" s="4" t="str">
        <f>CONCATENATE("3071-0000-5695","")</f>
        <v>3071-0000-5695</v>
      </c>
      <c r="B83" s="4" t="s">
        <v>7434</v>
      </c>
      <c r="C83" s="5">
        <v>41489</v>
      </c>
      <c r="D83" s="5">
        <v>41549</v>
      </c>
      <c r="E83" s="4" t="s">
        <v>5185</v>
      </c>
      <c r="F83" s="4" t="s">
        <v>5185</v>
      </c>
    </row>
    <row r="84" spans="1:6" x14ac:dyDescent="0.25">
      <c r="A84" s="4" t="str">
        <f>CONCATENATE("3071-0000-1834","")</f>
        <v>3071-0000-1834</v>
      </c>
      <c r="B84" s="4" t="s">
        <v>2514</v>
      </c>
      <c r="C84" s="5">
        <v>41489</v>
      </c>
      <c r="D84" s="5">
        <v>41549</v>
      </c>
      <c r="E84" s="4" t="s">
        <v>1381</v>
      </c>
      <c r="F84" s="4" t="s">
        <v>2303</v>
      </c>
    </row>
    <row r="85" spans="1:6" x14ac:dyDescent="0.25">
      <c r="A85" s="4" t="str">
        <f>CONCATENATE("3071-0000-2311","")</f>
        <v>3071-0000-2311</v>
      </c>
      <c r="B85" s="4" t="s">
        <v>3007</v>
      </c>
      <c r="C85" s="5">
        <v>41489</v>
      </c>
      <c r="D85" s="5">
        <v>41549</v>
      </c>
      <c r="E85" s="4" t="s">
        <v>2944</v>
      </c>
      <c r="F85" s="4" t="s">
        <v>2945</v>
      </c>
    </row>
    <row r="86" spans="1:6" x14ac:dyDescent="0.25">
      <c r="A86" s="4" t="str">
        <f>CONCATENATE("3071-0000-3364","")</f>
        <v>3071-0000-3364</v>
      </c>
      <c r="B86" s="4" t="s">
        <v>1499</v>
      </c>
      <c r="C86" s="5">
        <v>41489</v>
      </c>
      <c r="D86" s="5">
        <v>41549</v>
      </c>
      <c r="E86" s="4" t="s">
        <v>1410</v>
      </c>
      <c r="F86" s="4" t="s">
        <v>1411</v>
      </c>
    </row>
    <row r="87" spans="1:6" x14ac:dyDescent="0.25">
      <c r="A87" s="4" t="str">
        <f>CONCATENATE("3071-0000-4340","")</f>
        <v>3071-0000-4340</v>
      </c>
      <c r="B87" s="4" t="s">
        <v>8755</v>
      </c>
      <c r="C87" s="5">
        <v>41489</v>
      </c>
      <c r="D87" s="5">
        <v>41549</v>
      </c>
      <c r="E87" s="4" t="s">
        <v>1410</v>
      </c>
      <c r="F87" s="4" t="s">
        <v>8696</v>
      </c>
    </row>
    <row r="88" spans="1:6" x14ac:dyDescent="0.25">
      <c r="A88" s="4" t="str">
        <f>CONCATENATE("3071-0000-7748","")</f>
        <v>3071-0000-7748</v>
      </c>
      <c r="B88" s="4" t="s">
        <v>4456</v>
      </c>
      <c r="C88" s="5">
        <v>41489</v>
      </c>
      <c r="D88" s="5">
        <v>41549</v>
      </c>
      <c r="E88" s="4" t="s">
        <v>1410</v>
      </c>
      <c r="F88" s="4" t="s">
        <v>1410</v>
      </c>
    </row>
    <row r="89" spans="1:6" x14ac:dyDescent="0.25">
      <c r="A89" s="4" t="str">
        <f>CONCATENATE("3071-0000-7287","")</f>
        <v>3071-0000-7287</v>
      </c>
      <c r="B89" s="4" t="s">
        <v>4488</v>
      </c>
      <c r="C89" s="5">
        <v>41489</v>
      </c>
      <c r="D89" s="5">
        <v>41549</v>
      </c>
      <c r="E89" s="4" t="s">
        <v>1410</v>
      </c>
      <c r="F89" s="4" t="s">
        <v>1410</v>
      </c>
    </row>
    <row r="90" spans="1:6" x14ac:dyDescent="0.25">
      <c r="A90" s="4" t="str">
        <f>CONCATENATE("3071-0000-9169","")</f>
        <v>3071-0000-9169</v>
      </c>
      <c r="B90" s="4" t="s">
        <v>6158</v>
      </c>
      <c r="C90" s="5">
        <v>41489</v>
      </c>
      <c r="D90" s="5">
        <v>41549</v>
      </c>
      <c r="E90" s="4" t="s">
        <v>5185</v>
      </c>
      <c r="F90" s="4" t="s">
        <v>5945</v>
      </c>
    </row>
    <row r="91" spans="1:6" x14ac:dyDescent="0.25">
      <c r="A91" s="4" t="str">
        <f>CONCATENATE("3071-0000-5687","")</f>
        <v>3071-0000-5687</v>
      </c>
      <c r="B91" s="4" t="s">
        <v>7435</v>
      </c>
      <c r="C91" s="5">
        <v>41489</v>
      </c>
      <c r="D91" s="5">
        <v>41549</v>
      </c>
      <c r="E91" s="4" t="s">
        <v>5185</v>
      </c>
      <c r="F91" s="4" t="s">
        <v>5185</v>
      </c>
    </row>
    <row r="92" spans="1:6" x14ac:dyDescent="0.25">
      <c r="A92" s="4" t="str">
        <f>CONCATENATE("3071-0000-9358","")</f>
        <v>3071-0000-9358</v>
      </c>
      <c r="B92" s="4" t="s">
        <v>8438</v>
      </c>
      <c r="C92" s="5">
        <v>41489</v>
      </c>
      <c r="D92" s="5">
        <v>41549</v>
      </c>
      <c r="E92" s="4" t="s">
        <v>1410</v>
      </c>
      <c r="F92" s="4" t="s">
        <v>4459</v>
      </c>
    </row>
    <row r="93" spans="1:6" x14ac:dyDescent="0.25">
      <c r="A93" s="4" t="str">
        <f>CONCATENATE("3071-0000-2987","")</f>
        <v>3071-0000-2987</v>
      </c>
      <c r="B93" s="4" t="s">
        <v>1224</v>
      </c>
      <c r="C93" s="5">
        <v>41489</v>
      </c>
      <c r="D93" s="5">
        <v>41549</v>
      </c>
      <c r="E93" s="4" t="s">
        <v>7</v>
      </c>
      <c r="F93" s="4" t="s">
        <v>808</v>
      </c>
    </row>
    <row r="94" spans="1:6" x14ac:dyDescent="0.25">
      <c r="A94" s="4" t="str">
        <f>CONCATENATE("3071-0000-8761","")</f>
        <v>3071-0000-8761</v>
      </c>
      <c r="B94" s="4" t="s">
        <v>6384</v>
      </c>
      <c r="C94" s="5">
        <v>41489</v>
      </c>
      <c r="D94" s="5">
        <v>41549</v>
      </c>
      <c r="E94" s="4" t="s">
        <v>5185</v>
      </c>
      <c r="F94" s="4" t="s">
        <v>5292</v>
      </c>
    </row>
    <row r="95" spans="1:6" x14ac:dyDescent="0.25">
      <c r="A95" s="4" t="str">
        <f>CONCATENATE("3071-0000-4377","")</f>
        <v>3071-0000-4377</v>
      </c>
      <c r="B95" s="4" t="s">
        <v>9224</v>
      </c>
      <c r="C95" s="5">
        <v>41489</v>
      </c>
      <c r="D95" s="5">
        <v>41549</v>
      </c>
      <c r="E95" s="4" t="s">
        <v>1410</v>
      </c>
      <c r="F95" s="4" t="s">
        <v>8696</v>
      </c>
    </row>
    <row r="96" spans="1:6" x14ac:dyDescent="0.25">
      <c r="A96" s="4" t="str">
        <f>CONCATENATE("3071-0000-3085","")</f>
        <v>3071-0000-3085</v>
      </c>
      <c r="B96" s="4" t="s">
        <v>1249</v>
      </c>
      <c r="C96" s="5">
        <v>41489</v>
      </c>
      <c r="D96" s="5">
        <v>41549</v>
      </c>
      <c r="E96" s="4" t="s">
        <v>7</v>
      </c>
      <c r="F96" s="4" t="s">
        <v>808</v>
      </c>
    </row>
    <row r="97" spans="1:6" x14ac:dyDescent="0.25">
      <c r="A97" s="4" t="str">
        <f>CONCATENATE("3071-0000-9055","")</f>
        <v>3071-0000-9055</v>
      </c>
      <c r="B97" s="4" t="s">
        <v>6520</v>
      </c>
      <c r="C97" s="5">
        <v>41489</v>
      </c>
      <c r="D97" s="5">
        <v>41549</v>
      </c>
      <c r="E97" s="4" t="s">
        <v>5185</v>
      </c>
      <c r="F97" s="4" t="s">
        <v>5292</v>
      </c>
    </row>
    <row r="98" spans="1:6" x14ac:dyDescent="0.25">
      <c r="A98" s="4" t="str">
        <f>CONCATENATE("3071-0000-0462","")</f>
        <v>3071-0000-0462</v>
      </c>
      <c r="B98" s="4" t="s">
        <v>626</v>
      </c>
      <c r="C98" s="5">
        <v>41489</v>
      </c>
      <c r="D98" s="5">
        <v>41549</v>
      </c>
      <c r="E98" s="4" t="s">
        <v>7</v>
      </c>
      <c r="F98" s="4" t="s">
        <v>7</v>
      </c>
    </row>
    <row r="99" spans="1:6" x14ac:dyDescent="0.25">
      <c r="A99" s="4" t="str">
        <f>CONCATENATE("3071-0000-0218","")</f>
        <v>3071-0000-0218</v>
      </c>
      <c r="B99" s="4" t="s">
        <v>466</v>
      </c>
      <c r="C99" s="5">
        <v>41489</v>
      </c>
      <c r="D99" s="5">
        <v>41549</v>
      </c>
      <c r="E99" s="4" t="s">
        <v>7</v>
      </c>
      <c r="F99" s="4" t="s">
        <v>7</v>
      </c>
    </row>
    <row r="100" spans="1:6" x14ac:dyDescent="0.25">
      <c r="A100" s="4" t="str">
        <f>CONCATENATE("3071-0000-5710","")</f>
        <v>3071-0000-5710</v>
      </c>
      <c r="B100" s="4" t="s">
        <v>7412</v>
      </c>
      <c r="C100" s="5">
        <v>41489</v>
      </c>
      <c r="D100" s="5">
        <v>41549</v>
      </c>
      <c r="E100" s="4" t="s">
        <v>5185</v>
      </c>
      <c r="F100" s="4" t="s">
        <v>5185</v>
      </c>
    </row>
    <row r="101" spans="1:6" x14ac:dyDescent="0.25">
      <c r="A101" s="4" t="str">
        <f>CONCATENATE("3071-0000-1577","")</f>
        <v>3071-0000-1577</v>
      </c>
      <c r="B101" s="4" t="s">
        <v>2811</v>
      </c>
      <c r="C101" s="5">
        <v>41489</v>
      </c>
      <c r="D101" s="5">
        <v>41549</v>
      </c>
      <c r="E101" s="4" t="s">
        <v>1381</v>
      </c>
      <c r="F101" s="4" t="s">
        <v>2303</v>
      </c>
    </row>
    <row r="102" spans="1:6" x14ac:dyDescent="0.25">
      <c r="A102" s="4" t="str">
        <f>CONCATENATE("3071-0000-3408","")</f>
        <v>3071-0000-3408</v>
      </c>
      <c r="B102" s="4" t="s">
        <v>1570</v>
      </c>
      <c r="C102" s="5">
        <v>41489</v>
      </c>
      <c r="D102" s="5">
        <v>41549</v>
      </c>
      <c r="E102" s="4" t="s">
        <v>1410</v>
      </c>
      <c r="F102" s="4" t="s">
        <v>1411</v>
      </c>
    </row>
    <row r="103" spans="1:6" x14ac:dyDescent="0.25">
      <c r="A103" s="4" t="str">
        <f>CONCATENATE("3071-0000-8669","")</f>
        <v>3071-0000-8669</v>
      </c>
      <c r="B103" s="4" t="s">
        <v>6380</v>
      </c>
      <c r="C103" s="5">
        <v>41489</v>
      </c>
      <c r="D103" s="5">
        <v>41549</v>
      </c>
      <c r="E103" s="4" t="s">
        <v>5185</v>
      </c>
      <c r="F103" s="4" t="s">
        <v>5292</v>
      </c>
    </row>
    <row r="104" spans="1:6" x14ac:dyDescent="0.25">
      <c r="A104" s="4" t="str">
        <f>CONCATENATE("3071-0000-8865","")</f>
        <v>3071-0000-8865</v>
      </c>
      <c r="B104" s="4" t="s">
        <v>6379</v>
      </c>
      <c r="C104" s="5">
        <v>41489</v>
      </c>
      <c r="D104" s="5">
        <v>41549</v>
      </c>
      <c r="E104" s="4" t="s">
        <v>5185</v>
      </c>
      <c r="F104" s="4" t="s">
        <v>5292</v>
      </c>
    </row>
    <row r="105" spans="1:6" x14ac:dyDescent="0.25">
      <c r="A105" s="4" t="str">
        <f>CONCATENATE("3071-0000-7587","")</f>
        <v>3071-0000-7587</v>
      </c>
      <c r="B105" s="4" t="s">
        <v>4682</v>
      </c>
      <c r="C105" s="5">
        <v>41489</v>
      </c>
      <c r="D105" s="5">
        <v>41549</v>
      </c>
      <c r="E105" s="4" t="s">
        <v>1410</v>
      </c>
      <c r="F105" s="4" t="s">
        <v>4655</v>
      </c>
    </row>
    <row r="106" spans="1:6" x14ac:dyDescent="0.25">
      <c r="A106" s="4" t="str">
        <f>CONCATENATE("3071-0000-6398","")</f>
        <v>3071-0000-6398</v>
      </c>
      <c r="B106" s="4" t="s">
        <v>7836</v>
      </c>
      <c r="C106" s="5">
        <v>41489</v>
      </c>
      <c r="D106" s="5">
        <v>41549</v>
      </c>
      <c r="E106" s="4" t="s">
        <v>5185</v>
      </c>
      <c r="F106" s="4" t="s">
        <v>5185</v>
      </c>
    </row>
    <row r="107" spans="1:6" x14ac:dyDescent="0.25">
      <c r="A107" s="4" t="str">
        <f>CONCATENATE("3071-0000-1929","")</f>
        <v>3071-0000-1929</v>
      </c>
      <c r="B107" s="4" t="s">
        <v>3028</v>
      </c>
      <c r="C107" s="5">
        <v>41489</v>
      </c>
      <c r="D107" s="5">
        <v>41549</v>
      </c>
      <c r="E107" s="4" t="s">
        <v>2944</v>
      </c>
      <c r="F107" s="4" t="s">
        <v>2945</v>
      </c>
    </row>
    <row r="108" spans="1:6" x14ac:dyDescent="0.25">
      <c r="A108" s="4" t="str">
        <f>CONCATENATE("3071-0000-8641","")</f>
        <v>3071-0000-8641</v>
      </c>
      <c r="B108" s="4" t="s">
        <v>5418</v>
      </c>
      <c r="C108" s="5">
        <v>41489</v>
      </c>
      <c r="D108" s="5">
        <v>41549</v>
      </c>
      <c r="E108" s="4" t="s">
        <v>1410</v>
      </c>
      <c r="F108" s="4" t="s">
        <v>4616</v>
      </c>
    </row>
    <row r="109" spans="1:6" x14ac:dyDescent="0.25">
      <c r="A109" s="4" t="str">
        <f>CONCATENATE("3071-0000-2224","")</f>
        <v>3071-0000-2224</v>
      </c>
      <c r="B109" s="4" t="s">
        <v>3076</v>
      </c>
      <c r="C109" s="5">
        <v>41489</v>
      </c>
      <c r="D109" s="5">
        <v>41549</v>
      </c>
      <c r="E109" s="4" t="s">
        <v>2944</v>
      </c>
      <c r="F109" s="4" t="s">
        <v>2945</v>
      </c>
    </row>
    <row r="110" spans="1:6" x14ac:dyDescent="0.25">
      <c r="A110" s="4" t="str">
        <f>CONCATENATE("3071-0000-2919","")</f>
        <v>3071-0000-2919</v>
      </c>
      <c r="B110" s="4" t="s">
        <v>1349</v>
      </c>
      <c r="C110" s="5">
        <v>41489</v>
      </c>
      <c r="D110" s="5">
        <v>41549</v>
      </c>
      <c r="E110" s="4" t="s">
        <v>7</v>
      </c>
      <c r="F110" s="4" t="s">
        <v>808</v>
      </c>
    </row>
    <row r="111" spans="1:6" x14ac:dyDescent="0.25">
      <c r="A111" s="4" t="str">
        <f>CONCATENATE("3071-0000-9588","")</f>
        <v>3071-0000-9588</v>
      </c>
      <c r="B111" s="4" t="s">
        <v>8455</v>
      </c>
      <c r="C111" s="5">
        <v>41489</v>
      </c>
      <c r="D111" s="5">
        <v>41549</v>
      </c>
      <c r="E111" s="4" t="s">
        <v>1410</v>
      </c>
      <c r="F111" s="4" t="s">
        <v>4459</v>
      </c>
    </row>
    <row r="112" spans="1:6" x14ac:dyDescent="0.25">
      <c r="A112" s="4" t="str">
        <f>CONCATENATE("3071-0000-3336","")</f>
        <v>3071-0000-3336</v>
      </c>
      <c r="B112" s="4" t="s">
        <v>1848</v>
      </c>
      <c r="C112" s="5">
        <v>41489</v>
      </c>
      <c r="D112" s="5">
        <v>41549</v>
      </c>
      <c r="E112" s="4" t="s">
        <v>1410</v>
      </c>
      <c r="F112" s="4" t="s">
        <v>1411</v>
      </c>
    </row>
    <row r="113" spans="1:6" x14ac:dyDescent="0.25">
      <c r="A113" s="4" t="str">
        <f>CONCATENATE("3071-0000-7707","")</f>
        <v>3071-0000-7707</v>
      </c>
      <c r="B113" s="4" t="s">
        <v>4315</v>
      </c>
      <c r="C113" s="5">
        <v>41489</v>
      </c>
      <c r="D113" s="5">
        <v>41549</v>
      </c>
      <c r="E113" s="4" t="s">
        <v>1410</v>
      </c>
      <c r="F113" s="4" t="s">
        <v>1410</v>
      </c>
    </row>
    <row r="114" spans="1:6" x14ac:dyDescent="0.25">
      <c r="A114" s="4" t="str">
        <f>CONCATENATE("3071-0000-0639","")</f>
        <v>3071-0000-0639</v>
      </c>
      <c r="B114" s="4" t="s">
        <v>120</v>
      </c>
      <c r="C114" s="5">
        <v>41489</v>
      </c>
      <c r="D114" s="5">
        <v>41549</v>
      </c>
      <c r="E114" s="4" t="s">
        <v>7</v>
      </c>
      <c r="F114" s="4" t="s">
        <v>7</v>
      </c>
    </row>
    <row r="115" spans="1:6" x14ac:dyDescent="0.25">
      <c r="A115" s="4" t="str">
        <f>CONCATENATE("3071-0000-6510","")</f>
        <v>3071-0000-6510</v>
      </c>
      <c r="B115" s="4" t="s">
        <v>7930</v>
      </c>
      <c r="C115" s="5">
        <v>41489</v>
      </c>
      <c r="D115" s="5">
        <v>41549</v>
      </c>
      <c r="E115" s="4" t="s">
        <v>5185</v>
      </c>
      <c r="F115" s="4" t="s">
        <v>5185</v>
      </c>
    </row>
    <row r="116" spans="1:6" x14ac:dyDescent="0.25">
      <c r="A116" s="4" t="str">
        <f>CONCATENATE("3071-0000-2162","")</f>
        <v>3071-0000-2162</v>
      </c>
      <c r="B116" s="4" t="s">
        <v>3205</v>
      </c>
      <c r="C116" s="5">
        <v>41489</v>
      </c>
      <c r="D116" s="5">
        <v>41549</v>
      </c>
      <c r="E116" s="4" t="s">
        <v>2944</v>
      </c>
      <c r="F116" s="4" t="s">
        <v>2945</v>
      </c>
    </row>
    <row r="117" spans="1:6" x14ac:dyDescent="0.25">
      <c r="A117" s="4" t="str">
        <f>CONCATENATE("3071-0000-0496","")</f>
        <v>3071-0000-0496</v>
      </c>
      <c r="B117" s="4" t="s">
        <v>483</v>
      </c>
      <c r="C117" s="5">
        <v>41489</v>
      </c>
      <c r="D117" s="5">
        <v>41549</v>
      </c>
      <c r="E117" s="4" t="s">
        <v>7</v>
      </c>
      <c r="F117" s="4" t="s">
        <v>7</v>
      </c>
    </row>
    <row r="118" spans="1:6" x14ac:dyDescent="0.25">
      <c r="A118" s="4" t="str">
        <f>CONCATENATE("3071-0000-0129","")</f>
        <v>3071-0000-0129</v>
      </c>
      <c r="B118" s="4" t="s">
        <v>278</v>
      </c>
      <c r="C118" s="5">
        <v>41489</v>
      </c>
      <c r="D118" s="5">
        <v>41549</v>
      </c>
      <c r="E118" s="4" t="s">
        <v>7</v>
      </c>
      <c r="F118" s="4" t="s">
        <v>7</v>
      </c>
    </row>
    <row r="119" spans="1:6" x14ac:dyDescent="0.25">
      <c r="A119" s="4" t="str">
        <f>CONCATENATE("3071-0000-2406","")</f>
        <v>3071-0000-2406</v>
      </c>
      <c r="B119" s="4" t="s">
        <v>3220</v>
      </c>
      <c r="C119" s="5">
        <v>41489</v>
      </c>
      <c r="D119" s="5">
        <v>41549</v>
      </c>
      <c r="E119" s="4" t="s">
        <v>2944</v>
      </c>
      <c r="F119" s="4" t="s">
        <v>3164</v>
      </c>
    </row>
    <row r="120" spans="1:6" x14ac:dyDescent="0.25">
      <c r="A120" s="4" t="str">
        <f>CONCATENATE("3071-0000-2651","")</f>
        <v>3071-0000-2651</v>
      </c>
      <c r="B120" s="4" t="s">
        <v>3193</v>
      </c>
      <c r="C120" s="5">
        <v>41489</v>
      </c>
      <c r="D120" s="5">
        <v>41549</v>
      </c>
      <c r="E120" s="4" t="s">
        <v>2944</v>
      </c>
      <c r="F120" s="4" t="s">
        <v>3164</v>
      </c>
    </row>
    <row r="121" spans="1:6" x14ac:dyDescent="0.25">
      <c r="A121" s="4" t="str">
        <f>CONCATENATE("3071-0000-2512","")</f>
        <v>3071-0000-2512</v>
      </c>
      <c r="B121" s="4" t="s">
        <v>3614</v>
      </c>
      <c r="C121" s="5">
        <v>41489</v>
      </c>
      <c r="D121" s="5">
        <v>41549</v>
      </c>
      <c r="E121" s="4" t="s">
        <v>2944</v>
      </c>
      <c r="F121" s="4" t="s">
        <v>3567</v>
      </c>
    </row>
    <row r="122" spans="1:6" x14ac:dyDescent="0.25">
      <c r="A122" s="4" t="str">
        <f>CONCATENATE("3071-0000-4063","")</f>
        <v>3071-0000-4063</v>
      </c>
      <c r="B122" s="4" t="s">
        <v>3957</v>
      </c>
      <c r="C122" s="5">
        <v>41489</v>
      </c>
      <c r="D122" s="5">
        <v>41549</v>
      </c>
      <c r="E122" s="4" t="s">
        <v>7</v>
      </c>
      <c r="F122" s="4" t="s">
        <v>1419</v>
      </c>
    </row>
    <row r="123" spans="1:6" x14ac:dyDescent="0.25">
      <c r="A123" s="4" t="str">
        <f>CONCATENATE("3071-0000-0661","")</f>
        <v>3071-0000-0661</v>
      </c>
      <c r="B123" s="4" t="s">
        <v>796</v>
      </c>
      <c r="C123" s="5">
        <v>41489</v>
      </c>
      <c r="D123" s="5">
        <v>41549</v>
      </c>
      <c r="E123" s="4" t="s">
        <v>7</v>
      </c>
      <c r="F123" s="4" t="s">
        <v>7</v>
      </c>
    </row>
    <row r="124" spans="1:6" x14ac:dyDescent="0.25">
      <c r="A124" s="4" t="str">
        <f>CONCATENATE("3071-0000-8923","")</f>
        <v>3071-0000-8923</v>
      </c>
      <c r="B124" s="4" t="s">
        <v>5330</v>
      </c>
      <c r="C124" s="5">
        <v>41489</v>
      </c>
      <c r="D124" s="5">
        <v>41549</v>
      </c>
      <c r="E124" s="4" t="s">
        <v>1410</v>
      </c>
      <c r="F124" s="4" t="s">
        <v>4616</v>
      </c>
    </row>
    <row r="125" spans="1:6" x14ac:dyDescent="0.25">
      <c r="A125" s="4" t="str">
        <f>CONCATENATE("3071-0000-5540","")</f>
        <v>3071-0000-5540</v>
      </c>
      <c r="B125" s="4" t="s">
        <v>7319</v>
      </c>
      <c r="C125" s="5">
        <v>41489</v>
      </c>
      <c r="D125" s="5">
        <v>41549</v>
      </c>
      <c r="E125" s="4" t="s">
        <v>5185</v>
      </c>
      <c r="F125" s="4" t="s">
        <v>5185</v>
      </c>
    </row>
    <row r="126" spans="1:6" x14ac:dyDescent="0.25">
      <c r="A126" s="4" t="str">
        <f>CONCATENATE("3071-0000-0487","")</f>
        <v>3071-0000-0487</v>
      </c>
      <c r="B126" s="4" t="s">
        <v>355</v>
      </c>
      <c r="C126" s="5">
        <v>41489</v>
      </c>
      <c r="D126" s="5">
        <v>41549</v>
      </c>
      <c r="E126" s="4" t="s">
        <v>7</v>
      </c>
      <c r="F126" s="4" t="s">
        <v>7</v>
      </c>
    </row>
    <row r="127" spans="1:6" x14ac:dyDescent="0.25">
      <c r="A127" s="4" t="str">
        <f>CONCATENATE("3071-0000-5705","")</f>
        <v>3071-0000-5705</v>
      </c>
      <c r="B127" s="4" t="s">
        <v>7423</v>
      </c>
      <c r="C127" s="5">
        <v>41489</v>
      </c>
      <c r="D127" s="5">
        <v>41549</v>
      </c>
      <c r="E127" s="4" t="s">
        <v>5185</v>
      </c>
      <c r="F127" s="4" t="s">
        <v>5185</v>
      </c>
    </row>
    <row r="128" spans="1:6" x14ac:dyDescent="0.25">
      <c r="A128" s="4" t="str">
        <f>CONCATENATE("3071-0000-5160","")</f>
        <v>3071-0000-5160</v>
      </c>
      <c r="B128" s="4" t="s">
        <v>9004</v>
      </c>
      <c r="C128" s="5">
        <v>41489</v>
      </c>
      <c r="D128" s="5">
        <v>41549</v>
      </c>
      <c r="E128" s="4" t="s">
        <v>1410</v>
      </c>
      <c r="F128" s="4" t="s">
        <v>8903</v>
      </c>
    </row>
    <row r="129" spans="1:6" x14ac:dyDescent="0.25">
      <c r="A129" s="4" t="str">
        <f>CONCATENATE("3071-0000-4320","")</f>
        <v>3071-0000-4320</v>
      </c>
      <c r="B129" s="4" t="s">
        <v>9014</v>
      </c>
      <c r="C129" s="5">
        <v>41489</v>
      </c>
      <c r="D129" s="5">
        <v>41549</v>
      </c>
      <c r="E129" s="4" t="s">
        <v>1410</v>
      </c>
      <c r="F129" s="4" t="s">
        <v>8696</v>
      </c>
    </row>
    <row r="130" spans="1:6" x14ac:dyDescent="0.25">
      <c r="A130" s="4" t="str">
        <f>CONCATENATE("3071-0000-4296","")</f>
        <v>3071-0000-4296</v>
      </c>
      <c r="B130" s="4" t="s">
        <v>8936</v>
      </c>
      <c r="C130" s="5">
        <v>41489</v>
      </c>
      <c r="D130" s="5">
        <v>41549</v>
      </c>
      <c r="E130" s="4" t="s">
        <v>1410</v>
      </c>
      <c r="F130" s="4" t="s">
        <v>8696</v>
      </c>
    </row>
    <row r="131" spans="1:6" x14ac:dyDescent="0.25">
      <c r="A131" s="4" t="str">
        <f>CONCATENATE("3071-0000-7094","")</f>
        <v>3071-0000-7094</v>
      </c>
      <c r="B131" s="4" t="s">
        <v>4689</v>
      </c>
      <c r="C131" s="5">
        <v>41489</v>
      </c>
      <c r="D131" s="5">
        <v>41549</v>
      </c>
      <c r="E131" s="4" t="s">
        <v>1410</v>
      </c>
      <c r="F131" s="4" t="s">
        <v>1410</v>
      </c>
    </row>
    <row r="132" spans="1:6" x14ac:dyDescent="0.25">
      <c r="A132" s="4" t="str">
        <f>CONCATENATE("3071-0000-7742","")</f>
        <v>3071-0000-7742</v>
      </c>
      <c r="B132" s="4" t="s">
        <v>5057</v>
      </c>
      <c r="C132" s="5">
        <v>41489</v>
      </c>
      <c r="D132" s="5">
        <v>41549</v>
      </c>
      <c r="E132" s="4" t="s">
        <v>1410</v>
      </c>
      <c r="F132" s="4" t="s">
        <v>1410</v>
      </c>
    </row>
    <row r="133" spans="1:6" x14ac:dyDescent="0.25">
      <c r="A133" s="4" t="str">
        <f>CONCATENATE("3071-0000-7281","")</f>
        <v>3071-0000-7281</v>
      </c>
      <c r="B133" s="4" t="s">
        <v>5132</v>
      </c>
      <c r="C133" s="5">
        <v>41489</v>
      </c>
      <c r="D133" s="5">
        <v>41549</v>
      </c>
      <c r="E133" s="4" t="s">
        <v>1410</v>
      </c>
      <c r="F133" s="4" t="s">
        <v>1410</v>
      </c>
    </row>
    <row r="134" spans="1:6" x14ac:dyDescent="0.25">
      <c r="A134" s="4" t="str">
        <f>CONCATENATE("3071-0000-4279","")</f>
        <v>3071-0000-4279</v>
      </c>
      <c r="B134" s="4" t="s">
        <v>8910</v>
      </c>
      <c r="C134" s="5">
        <v>41489</v>
      </c>
      <c r="D134" s="5">
        <v>41549</v>
      </c>
      <c r="E134" s="4" t="s">
        <v>1410</v>
      </c>
      <c r="F134" s="4" t="s">
        <v>8696</v>
      </c>
    </row>
    <row r="135" spans="1:6" x14ac:dyDescent="0.25">
      <c r="A135" s="4" t="str">
        <f>CONCATENATE("3071-0000-5164","")</f>
        <v>3071-0000-5164</v>
      </c>
      <c r="B135" s="4" t="s">
        <v>8987</v>
      </c>
      <c r="C135" s="5">
        <v>41489</v>
      </c>
      <c r="D135" s="5">
        <v>41549</v>
      </c>
      <c r="E135" s="4" t="s">
        <v>1410</v>
      </c>
      <c r="F135" s="4" t="s">
        <v>8903</v>
      </c>
    </row>
    <row r="136" spans="1:6" x14ac:dyDescent="0.25">
      <c r="A136" s="4" t="str">
        <f>CONCATENATE("3071-0000-5142","")</f>
        <v>3071-0000-5142</v>
      </c>
      <c r="B136" s="4" t="s">
        <v>8976</v>
      </c>
      <c r="C136" s="5">
        <v>41489</v>
      </c>
      <c r="D136" s="5">
        <v>41549</v>
      </c>
      <c r="E136" s="4" t="s">
        <v>1410</v>
      </c>
      <c r="F136" s="4" t="s">
        <v>8903</v>
      </c>
    </row>
    <row r="137" spans="1:6" x14ac:dyDescent="0.25">
      <c r="A137" s="4" t="str">
        <f>CONCATENATE("3071-0000-5177","")</f>
        <v>3071-0000-5177</v>
      </c>
      <c r="B137" s="4" t="s">
        <v>8999</v>
      </c>
      <c r="C137" s="5">
        <v>41489</v>
      </c>
      <c r="D137" s="5">
        <v>41549</v>
      </c>
      <c r="E137" s="4" t="s">
        <v>1410</v>
      </c>
      <c r="F137" s="4" t="s">
        <v>8903</v>
      </c>
    </row>
    <row r="138" spans="1:6" x14ac:dyDescent="0.25">
      <c r="A138" s="4" t="str">
        <f>CONCATENATE("3071-0000-4280","")</f>
        <v>3071-0000-4280</v>
      </c>
      <c r="B138" s="4" t="s">
        <v>8896</v>
      </c>
      <c r="C138" s="5">
        <v>41489</v>
      </c>
      <c r="D138" s="5">
        <v>41549</v>
      </c>
      <c r="E138" s="4" t="s">
        <v>1410</v>
      </c>
      <c r="F138" s="4" t="s">
        <v>8696</v>
      </c>
    </row>
    <row r="139" spans="1:6" x14ac:dyDescent="0.25">
      <c r="A139" s="4" t="str">
        <f>CONCATENATE("3071-0000-5191","")</f>
        <v>3071-0000-5191</v>
      </c>
      <c r="B139" s="4" t="s">
        <v>8781</v>
      </c>
      <c r="C139" s="5">
        <v>41489</v>
      </c>
      <c r="D139" s="5">
        <v>41549</v>
      </c>
      <c r="E139" s="4" t="s">
        <v>1410</v>
      </c>
      <c r="F139" s="4" t="s">
        <v>8696</v>
      </c>
    </row>
    <row r="140" spans="1:6" x14ac:dyDescent="0.25">
      <c r="A140" s="4" t="str">
        <f>CONCATENATE("3071-0000-6961","")</f>
        <v>3071-0000-6961</v>
      </c>
      <c r="B140" s="4" t="s">
        <v>4528</v>
      </c>
      <c r="C140" s="5">
        <v>41489</v>
      </c>
      <c r="D140" s="5">
        <v>41549</v>
      </c>
      <c r="E140" s="4" t="s">
        <v>1410</v>
      </c>
      <c r="F140" s="4" t="s">
        <v>1410</v>
      </c>
    </row>
    <row r="141" spans="1:6" x14ac:dyDescent="0.25">
      <c r="A141" s="4" t="str">
        <f>CONCATENATE("3071-0000-5949","")</f>
        <v>3071-0000-5949</v>
      </c>
      <c r="B141" s="4" t="s">
        <v>7307</v>
      </c>
      <c r="C141" s="5">
        <v>41489</v>
      </c>
      <c r="D141" s="5">
        <v>41549</v>
      </c>
      <c r="E141" s="4" t="s">
        <v>5185</v>
      </c>
      <c r="F141" s="4" t="s">
        <v>5185</v>
      </c>
    </row>
    <row r="142" spans="1:6" x14ac:dyDescent="0.25">
      <c r="A142" s="4" t="str">
        <f>CONCATENATE("3071-0000-5889","")</f>
        <v>3071-0000-5889</v>
      </c>
      <c r="B142" s="4" t="s">
        <v>7576</v>
      </c>
      <c r="C142" s="5">
        <v>41489</v>
      </c>
      <c r="D142" s="5">
        <v>41549</v>
      </c>
      <c r="E142" s="4" t="s">
        <v>5185</v>
      </c>
      <c r="F142" s="4" t="s">
        <v>5185</v>
      </c>
    </row>
    <row r="143" spans="1:6" x14ac:dyDescent="0.25">
      <c r="A143" s="4" t="str">
        <f>CONCATENATE("3071-0000-5892","")</f>
        <v>3071-0000-5892</v>
      </c>
      <c r="B143" s="4" t="s">
        <v>7581</v>
      </c>
      <c r="C143" s="5">
        <v>41489</v>
      </c>
      <c r="D143" s="5">
        <v>41549</v>
      </c>
      <c r="E143" s="4" t="s">
        <v>5185</v>
      </c>
      <c r="F143" s="4" t="s">
        <v>5185</v>
      </c>
    </row>
    <row r="144" spans="1:6" x14ac:dyDescent="0.25">
      <c r="A144" s="4" t="str">
        <f>CONCATENATE("3071-0000-5157","")</f>
        <v>3071-0000-5157</v>
      </c>
      <c r="B144" s="4" t="s">
        <v>8991</v>
      </c>
      <c r="C144" s="5">
        <v>41489</v>
      </c>
      <c r="D144" s="5">
        <v>41549</v>
      </c>
      <c r="E144" s="4" t="s">
        <v>1410</v>
      </c>
      <c r="F144" s="4" t="s">
        <v>8903</v>
      </c>
    </row>
    <row r="145" spans="1:6" x14ac:dyDescent="0.25">
      <c r="A145" s="4" t="str">
        <f>CONCATENATE("3071-0000-4642","")</f>
        <v>3071-0000-4642</v>
      </c>
      <c r="B145" s="4" t="s">
        <v>8939</v>
      </c>
      <c r="C145" s="5">
        <v>41489</v>
      </c>
      <c r="D145" s="5">
        <v>41549</v>
      </c>
      <c r="E145" s="4" t="s">
        <v>1410</v>
      </c>
      <c r="F145" s="4" t="s">
        <v>8696</v>
      </c>
    </row>
    <row r="146" spans="1:6" x14ac:dyDescent="0.25">
      <c r="A146" s="4" t="str">
        <f>CONCATENATE("3071-0000-4645","")</f>
        <v>3071-0000-4645</v>
      </c>
      <c r="B146" s="4" t="s">
        <v>8942</v>
      </c>
      <c r="C146" s="5">
        <v>41489</v>
      </c>
      <c r="D146" s="5">
        <v>41549</v>
      </c>
      <c r="E146" s="4" t="s">
        <v>1410</v>
      </c>
      <c r="F146" s="4" t="s">
        <v>8696</v>
      </c>
    </row>
    <row r="147" spans="1:6" x14ac:dyDescent="0.25">
      <c r="A147" s="4" t="str">
        <f>CONCATENATE("3071-0000-7726","")</f>
        <v>3071-0000-7726</v>
      </c>
      <c r="B147" s="4" t="s">
        <v>4482</v>
      </c>
      <c r="C147" s="5">
        <v>41489</v>
      </c>
      <c r="D147" s="5">
        <v>41549</v>
      </c>
      <c r="E147" s="4" t="s">
        <v>1410</v>
      </c>
      <c r="F147" s="4" t="s">
        <v>1410</v>
      </c>
    </row>
    <row r="148" spans="1:6" x14ac:dyDescent="0.25">
      <c r="A148" s="4" t="str">
        <f>CONCATENATE("3071-0000-7465","")</f>
        <v>3071-0000-7465</v>
      </c>
      <c r="B148" s="4" t="s">
        <v>4464</v>
      </c>
      <c r="C148" s="5">
        <v>41489</v>
      </c>
      <c r="D148" s="5">
        <v>41549</v>
      </c>
      <c r="E148" s="4" t="s">
        <v>1410</v>
      </c>
      <c r="F148" s="4" t="s">
        <v>1410</v>
      </c>
    </row>
    <row r="149" spans="1:6" x14ac:dyDescent="0.25">
      <c r="A149" s="4" t="str">
        <f>CONCATENATE("3071-0000-5004","")</f>
        <v>3071-0000-5004</v>
      </c>
      <c r="B149" s="4" t="s">
        <v>8917</v>
      </c>
      <c r="C149" s="5">
        <v>41489</v>
      </c>
      <c r="D149" s="5">
        <v>41549</v>
      </c>
      <c r="E149" s="4" t="s">
        <v>1410</v>
      </c>
      <c r="F149" s="4" t="s">
        <v>8903</v>
      </c>
    </row>
    <row r="150" spans="1:6" x14ac:dyDescent="0.25">
      <c r="A150" s="4" t="str">
        <f>CONCATENATE("3071-0000-5132","")</f>
        <v>3071-0000-5132</v>
      </c>
      <c r="B150" s="4" t="s">
        <v>8973</v>
      </c>
      <c r="C150" s="5">
        <v>41489</v>
      </c>
      <c r="D150" s="5">
        <v>41549</v>
      </c>
      <c r="E150" s="4" t="s">
        <v>1410</v>
      </c>
      <c r="F150" s="4" t="s">
        <v>8903</v>
      </c>
    </row>
    <row r="151" spans="1:6" x14ac:dyDescent="0.25">
      <c r="A151" s="4" t="str">
        <f>CONCATENATE("3071-0000-1311","")</f>
        <v>3071-0000-1311</v>
      </c>
      <c r="B151" s="4" t="s">
        <v>2429</v>
      </c>
      <c r="C151" s="5">
        <v>41489</v>
      </c>
      <c r="D151" s="5">
        <v>41549</v>
      </c>
      <c r="E151" s="4" t="s">
        <v>1381</v>
      </c>
      <c r="F151" s="4" t="s">
        <v>2303</v>
      </c>
    </row>
    <row r="152" spans="1:6" x14ac:dyDescent="0.25">
      <c r="A152" s="4" t="str">
        <f>CONCATENATE("3071-0000-8423","")</f>
        <v>3071-0000-8423</v>
      </c>
      <c r="B152" s="4" t="s">
        <v>5482</v>
      </c>
      <c r="C152" s="5">
        <v>41489</v>
      </c>
      <c r="D152" s="5">
        <v>41549</v>
      </c>
      <c r="E152" s="4" t="s">
        <v>5185</v>
      </c>
      <c r="F152" s="4" t="s">
        <v>5250</v>
      </c>
    </row>
    <row r="153" spans="1:6" x14ac:dyDescent="0.25">
      <c r="A153" s="4" t="str">
        <f>CONCATENATE("3071-0000-0672","")</f>
        <v>3071-0000-0672</v>
      </c>
      <c r="B153" s="4" t="s">
        <v>634</v>
      </c>
      <c r="C153" s="5">
        <v>41489</v>
      </c>
      <c r="D153" s="5">
        <v>41549</v>
      </c>
      <c r="E153" s="4" t="s">
        <v>7</v>
      </c>
      <c r="F153" s="4" t="s">
        <v>7</v>
      </c>
    </row>
    <row r="154" spans="1:6" x14ac:dyDescent="0.25">
      <c r="A154" s="4" t="str">
        <f>CONCATENATE("3071-0000-3390","")</f>
        <v>3071-0000-3390</v>
      </c>
      <c r="B154" s="4" t="s">
        <v>1537</v>
      </c>
      <c r="C154" s="5">
        <v>41489</v>
      </c>
      <c r="D154" s="5">
        <v>41549</v>
      </c>
      <c r="E154" s="4" t="s">
        <v>1410</v>
      </c>
      <c r="F154" s="4" t="s">
        <v>1411</v>
      </c>
    </row>
    <row r="155" spans="1:6" x14ac:dyDescent="0.25">
      <c r="A155" s="4" t="str">
        <f>CONCATENATE("3071-0000-0735","")</f>
        <v>3071-0000-0735</v>
      </c>
      <c r="B155" s="4" t="s">
        <v>708</v>
      </c>
      <c r="C155" s="5">
        <v>41489</v>
      </c>
      <c r="D155" s="5">
        <v>41549</v>
      </c>
      <c r="E155" s="4" t="s">
        <v>7</v>
      </c>
      <c r="F155" s="4" t="s">
        <v>7</v>
      </c>
    </row>
    <row r="156" spans="1:6" x14ac:dyDescent="0.25">
      <c r="A156" s="4" t="str">
        <f>CONCATENATE("3071-0000-7499","")</f>
        <v>3071-0000-7499</v>
      </c>
      <c r="B156" s="4" t="s">
        <v>4580</v>
      </c>
      <c r="C156" s="5">
        <v>41489</v>
      </c>
      <c r="D156" s="5">
        <v>41549</v>
      </c>
      <c r="E156" s="4" t="s">
        <v>1410</v>
      </c>
      <c r="F156" s="4" t="s">
        <v>1410</v>
      </c>
    </row>
    <row r="157" spans="1:6" x14ac:dyDescent="0.25">
      <c r="A157" s="4" t="str">
        <f>CONCATENATE("3071-0000-0658","")</f>
        <v>3071-0000-0658</v>
      </c>
      <c r="B157" s="4" t="s">
        <v>391</v>
      </c>
      <c r="C157" s="5">
        <v>41489</v>
      </c>
      <c r="D157" s="5">
        <v>41549</v>
      </c>
      <c r="E157" s="4" t="s">
        <v>7</v>
      </c>
      <c r="F157" s="4" t="s">
        <v>273</v>
      </c>
    </row>
    <row r="158" spans="1:6" x14ac:dyDescent="0.25">
      <c r="A158" s="4" t="str">
        <f>CONCATENATE("3071-0000-5086","")</f>
        <v>3071-0000-5086</v>
      </c>
      <c r="B158" s="4" t="s">
        <v>9087</v>
      </c>
      <c r="C158" s="5">
        <v>41489</v>
      </c>
      <c r="D158" s="5">
        <v>41549</v>
      </c>
      <c r="E158" s="4" t="s">
        <v>7069</v>
      </c>
      <c r="F158" s="4" t="s">
        <v>9065</v>
      </c>
    </row>
    <row r="159" spans="1:6" x14ac:dyDescent="0.25">
      <c r="A159" s="4" t="str">
        <f>CONCATENATE("3071-0000-0338","")</f>
        <v>3071-0000-0338</v>
      </c>
      <c r="B159" s="4" t="s">
        <v>163</v>
      </c>
      <c r="C159" s="5">
        <v>41489</v>
      </c>
      <c r="D159" s="5">
        <v>41549</v>
      </c>
      <c r="E159" s="4" t="s">
        <v>7</v>
      </c>
      <c r="F159" s="4" t="s">
        <v>7</v>
      </c>
    </row>
    <row r="160" spans="1:6" x14ac:dyDescent="0.25">
      <c r="A160" s="4" t="str">
        <f>CONCATENATE("3071-0000-3749","")</f>
        <v>3071-0000-3749</v>
      </c>
      <c r="B160" s="4" t="s">
        <v>1462</v>
      </c>
      <c r="C160" s="5">
        <v>41489</v>
      </c>
      <c r="D160" s="5">
        <v>41549</v>
      </c>
      <c r="E160" s="4" t="s">
        <v>1410</v>
      </c>
      <c r="F160" s="4" t="s">
        <v>1411</v>
      </c>
    </row>
    <row r="161" spans="1:6" x14ac:dyDescent="0.25">
      <c r="A161" s="4" t="str">
        <f>CONCATENATE("3071-0000-8196","")</f>
        <v>3071-0000-8196</v>
      </c>
      <c r="B161" s="4" t="s">
        <v>5964</v>
      </c>
      <c r="C161" s="5">
        <v>41489</v>
      </c>
      <c r="D161" s="5">
        <v>41549</v>
      </c>
      <c r="E161" s="4" t="s">
        <v>5185</v>
      </c>
      <c r="F161" s="4" t="s">
        <v>5185</v>
      </c>
    </row>
    <row r="162" spans="1:6" x14ac:dyDescent="0.25">
      <c r="A162" s="4" t="str">
        <f>CONCATENATE("3071-0000-4695","")</f>
        <v>3071-0000-4695</v>
      </c>
      <c r="B162" s="4" t="s">
        <v>9082</v>
      </c>
      <c r="C162" s="5">
        <v>41489</v>
      </c>
      <c r="D162" s="5">
        <v>41549</v>
      </c>
      <c r="E162" s="4" t="s">
        <v>1410</v>
      </c>
      <c r="F162" s="4" t="s">
        <v>8696</v>
      </c>
    </row>
    <row r="163" spans="1:6" x14ac:dyDescent="0.25">
      <c r="A163" s="4" t="str">
        <f>CONCATENATE("3071-0000-4558","")</f>
        <v>3071-0000-4558</v>
      </c>
      <c r="B163" s="4" t="s">
        <v>9085</v>
      </c>
      <c r="C163" s="5">
        <v>41489</v>
      </c>
      <c r="D163" s="5">
        <v>41549</v>
      </c>
      <c r="E163" s="4" t="s">
        <v>1410</v>
      </c>
      <c r="F163" s="4" t="s">
        <v>8696</v>
      </c>
    </row>
    <row r="164" spans="1:6" x14ac:dyDescent="0.25">
      <c r="A164" s="4" t="str">
        <f>CONCATENATE("3071-0000-7190","")</f>
        <v>3071-0000-7190</v>
      </c>
      <c r="B164" s="4" t="s">
        <v>4945</v>
      </c>
      <c r="C164" s="5">
        <v>41489</v>
      </c>
      <c r="D164" s="5">
        <v>41549</v>
      </c>
      <c r="E164" s="4" t="s">
        <v>1410</v>
      </c>
      <c r="F164" s="4" t="s">
        <v>1410</v>
      </c>
    </row>
    <row r="165" spans="1:6" x14ac:dyDescent="0.25">
      <c r="A165" s="4" t="str">
        <f>CONCATENATE("3071-0000-3183","")</f>
        <v>3071-0000-3183</v>
      </c>
      <c r="B165" s="4" t="s">
        <v>1294</v>
      </c>
      <c r="C165" s="5">
        <v>41489</v>
      </c>
      <c r="D165" s="5">
        <v>41549</v>
      </c>
      <c r="E165" s="4" t="s">
        <v>7</v>
      </c>
      <c r="F165" s="4" t="s">
        <v>808</v>
      </c>
    </row>
    <row r="166" spans="1:6" x14ac:dyDescent="0.25">
      <c r="A166" s="4" t="str">
        <f>CONCATENATE("3071-0000-4245","")</f>
        <v>3071-0000-4245</v>
      </c>
      <c r="B166" s="4" t="s">
        <v>8728</v>
      </c>
      <c r="C166" s="5">
        <v>41489</v>
      </c>
      <c r="D166" s="5">
        <v>41549</v>
      </c>
      <c r="E166" s="4" t="s">
        <v>1410</v>
      </c>
      <c r="F166" s="4" t="s">
        <v>8696</v>
      </c>
    </row>
    <row r="167" spans="1:6" x14ac:dyDescent="0.25">
      <c r="A167" s="4" t="str">
        <f>CONCATENATE("3071-0000-3236","")</f>
        <v>3071-0000-3236</v>
      </c>
      <c r="B167" s="4" t="s">
        <v>1291</v>
      </c>
      <c r="C167" s="5">
        <v>41489</v>
      </c>
      <c r="D167" s="5">
        <v>41549</v>
      </c>
      <c r="E167" s="4" t="s">
        <v>7</v>
      </c>
      <c r="F167" s="4" t="s">
        <v>808</v>
      </c>
    </row>
    <row r="168" spans="1:6" x14ac:dyDescent="0.25">
      <c r="A168" s="4" t="str">
        <f>CONCATENATE("3071-0000-9325","")</f>
        <v>3071-0000-9325</v>
      </c>
      <c r="B168" s="4" t="s">
        <v>8610</v>
      </c>
      <c r="C168" s="5">
        <v>41489</v>
      </c>
      <c r="D168" s="5">
        <v>41549</v>
      </c>
      <c r="E168" s="4" t="s">
        <v>5185</v>
      </c>
      <c r="F168" s="4" t="s">
        <v>5185</v>
      </c>
    </row>
    <row r="169" spans="1:6" x14ac:dyDescent="0.25">
      <c r="A169" s="4" t="str">
        <f>CONCATENATE("3071-0000-7198","")</f>
        <v>3071-0000-7198</v>
      </c>
      <c r="B169" s="4" t="s">
        <v>5037</v>
      </c>
      <c r="C169" s="5">
        <v>41489</v>
      </c>
      <c r="D169" s="5">
        <v>41549</v>
      </c>
      <c r="E169" s="4" t="s">
        <v>1410</v>
      </c>
      <c r="F169" s="4" t="s">
        <v>1410</v>
      </c>
    </row>
    <row r="170" spans="1:6" x14ac:dyDescent="0.25">
      <c r="A170" s="4" t="str">
        <f>CONCATENATE("3071-0000-2773","")</f>
        <v>3071-0000-2773</v>
      </c>
      <c r="B170" s="4" t="s">
        <v>903</v>
      </c>
      <c r="C170" s="5">
        <v>41489</v>
      </c>
      <c r="D170" s="5">
        <v>41549</v>
      </c>
      <c r="E170" s="4" t="s">
        <v>7</v>
      </c>
      <c r="F170" s="4" t="s">
        <v>808</v>
      </c>
    </row>
    <row r="171" spans="1:6" x14ac:dyDescent="0.25">
      <c r="A171" s="4" t="str">
        <f>CONCATENATE("3071-0000-5075","")</f>
        <v>3071-0000-5075</v>
      </c>
      <c r="B171" s="4" t="s">
        <v>9459</v>
      </c>
      <c r="C171" s="5">
        <v>41489</v>
      </c>
      <c r="D171" s="5">
        <v>41549</v>
      </c>
      <c r="E171" s="4" t="s">
        <v>7069</v>
      </c>
      <c r="F171" s="4" t="s">
        <v>9210</v>
      </c>
    </row>
    <row r="172" spans="1:6" x14ac:dyDescent="0.25">
      <c r="A172" s="4" t="str">
        <f>CONCATENATE("3071-0000-7221","")</f>
        <v>3071-0000-7221</v>
      </c>
      <c r="B172" s="4" t="s">
        <v>4987</v>
      </c>
      <c r="C172" s="5">
        <v>41489</v>
      </c>
      <c r="D172" s="5">
        <v>41549</v>
      </c>
      <c r="E172" s="4" t="s">
        <v>1410</v>
      </c>
      <c r="F172" s="4" t="s">
        <v>1410</v>
      </c>
    </row>
    <row r="173" spans="1:6" x14ac:dyDescent="0.25">
      <c r="A173" s="4" t="str">
        <f>CONCATENATE("3071-0000-5330","")</f>
        <v>3071-0000-5330</v>
      </c>
      <c r="B173" s="4" t="s">
        <v>6753</v>
      </c>
      <c r="C173" s="5">
        <v>41489</v>
      </c>
      <c r="D173" s="5">
        <v>41549</v>
      </c>
      <c r="E173" s="4" t="s">
        <v>5185</v>
      </c>
      <c r="F173" s="4" t="s">
        <v>5185</v>
      </c>
    </row>
    <row r="174" spans="1:6" x14ac:dyDescent="0.25">
      <c r="A174" s="4" t="str">
        <f>CONCATENATE("3071-0000-4552","")</f>
        <v>3071-0000-4552</v>
      </c>
      <c r="B174" s="4" t="s">
        <v>9078</v>
      </c>
      <c r="C174" s="5">
        <v>41489</v>
      </c>
      <c r="D174" s="5">
        <v>41549</v>
      </c>
      <c r="E174" s="4" t="s">
        <v>1410</v>
      </c>
      <c r="F174" s="4" t="s">
        <v>8696</v>
      </c>
    </row>
    <row r="175" spans="1:6" x14ac:dyDescent="0.25">
      <c r="A175" s="4" t="str">
        <f>CONCATENATE("3071-0000-8417","")</f>
        <v>3071-0000-8417</v>
      </c>
      <c r="B175" s="4" t="s">
        <v>6247</v>
      </c>
      <c r="C175" s="5">
        <v>41489</v>
      </c>
      <c r="D175" s="5">
        <v>41549</v>
      </c>
      <c r="E175" s="4" t="s">
        <v>5185</v>
      </c>
      <c r="F175" s="4" t="s">
        <v>5185</v>
      </c>
    </row>
    <row r="176" spans="1:6" x14ac:dyDescent="0.25">
      <c r="A176" s="4" t="str">
        <f>CONCATENATE("3071-0000-3126","")</f>
        <v>3071-0000-3126</v>
      </c>
      <c r="B176" s="4" t="s">
        <v>1035</v>
      </c>
      <c r="C176" s="5">
        <v>41489</v>
      </c>
      <c r="D176" s="5">
        <v>41549</v>
      </c>
      <c r="E176" s="4" t="s">
        <v>7</v>
      </c>
      <c r="F176" s="4" t="s">
        <v>808</v>
      </c>
    </row>
    <row r="177" spans="1:6" x14ac:dyDescent="0.25">
      <c r="A177" s="4" t="str">
        <f>CONCATENATE("3071-0000-7346","")</f>
        <v>3071-0000-7346</v>
      </c>
      <c r="B177" s="4" t="s">
        <v>4746</v>
      </c>
      <c r="C177" s="5">
        <v>41489</v>
      </c>
      <c r="D177" s="5">
        <v>41549</v>
      </c>
      <c r="E177" s="4" t="s">
        <v>1410</v>
      </c>
      <c r="F177" s="4" t="s">
        <v>1410</v>
      </c>
    </row>
    <row r="178" spans="1:6" x14ac:dyDescent="0.25">
      <c r="A178" s="4" t="str">
        <f>CONCATENATE("3071-0000-7502","")</f>
        <v>3071-0000-7502</v>
      </c>
      <c r="B178" s="4" t="s">
        <v>4602</v>
      </c>
      <c r="C178" s="5">
        <v>41489</v>
      </c>
      <c r="D178" s="5">
        <v>41549</v>
      </c>
      <c r="E178" s="4" t="s">
        <v>1410</v>
      </c>
      <c r="F178" s="4" t="s">
        <v>1410</v>
      </c>
    </row>
    <row r="179" spans="1:6" x14ac:dyDescent="0.25">
      <c r="A179" s="4" t="str">
        <f>CONCATENATE("3071-0000-7135","")</f>
        <v>3071-0000-7135</v>
      </c>
      <c r="B179" s="4" t="s">
        <v>5030</v>
      </c>
      <c r="C179" s="5">
        <v>41489</v>
      </c>
      <c r="D179" s="5">
        <v>41549</v>
      </c>
      <c r="E179" s="4" t="s">
        <v>1410</v>
      </c>
      <c r="F179" s="4" t="s">
        <v>1410</v>
      </c>
    </row>
    <row r="180" spans="1:6" x14ac:dyDescent="0.25">
      <c r="A180" s="4" t="str">
        <f>CONCATENATE("3071-0000-5581","")</f>
        <v>3071-0000-5581</v>
      </c>
      <c r="B180" s="4" t="s">
        <v>7495</v>
      </c>
      <c r="C180" s="5">
        <v>41489</v>
      </c>
      <c r="D180" s="5">
        <v>41549</v>
      </c>
      <c r="E180" s="4" t="s">
        <v>5185</v>
      </c>
      <c r="F180" s="4" t="s">
        <v>5185</v>
      </c>
    </row>
    <row r="181" spans="1:6" x14ac:dyDescent="0.25">
      <c r="A181" s="4" t="str">
        <f>CONCATENATE("3071-0000-3163","")</f>
        <v>3071-0000-3163</v>
      </c>
      <c r="B181" s="4" t="s">
        <v>1392</v>
      </c>
      <c r="C181" s="5">
        <v>41489</v>
      </c>
      <c r="D181" s="5">
        <v>41549</v>
      </c>
      <c r="E181" s="4" t="s">
        <v>7</v>
      </c>
      <c r="F181" s="4" t="s">
        <v>808</v>
      </c>
    </row>
    <row r="182" spans="1:6" x14ac:dyDescent="0.25">
      <c r="A182" s="4" t="str">
        <f>CONCATENATE("3071-0000-7078","")</f>
        <v>3071-0000-7078</v>
      </c>
      <c r="B182" s="4" t="s">
        <v>4783</v>
      </c>
      <c r="C182" s="5">
        <v>41489</v>
      </c>
      <c r="D182" s="5">
        <v>41549</v>
      </c>
      <c r="E182" s="4" t="s">
        <v>1410</v>
      </c>
      <c r="F182" s="4" t="s">
        <v>1410</v>
      </c>
    </row>
    <row r="183" spans="1:6" x14ac:dyDescent="0.25">
      <c r="A183" s="4" t="str">
        <f>CONCATENATE("3071-0000-7594","")</f>
        <v>3071-0000-7594</v>
      </c>
      <c r="B183" s="4" t="s">
        <v>4696</v>
      </c>
      <c r="C183" s="5">
        <v>41489</v>
      </c>
      <c r="D183" s="5">
        <v>41549</v>
      </c>
      <c r="E183" s="4" t="s">
        <v>1410</v>
      </c>
      <c r="F183" s="4" t="s">
        <v>4655</v>
      </c>
    </row>
    <row r="184" spans="1:6" x14ac:dyDescent="0.25">
      <c r="A184" s="4" t="str">
        <f>CONCATENATE("3071-0000-3110","")</f>
        <v>3071-0000-3110</v>
      </c>
      <c r="B184" s="4" t="s">
        <v>1055</v>
      </c>
      <c r="C184" s="5">
        <v>41489</v>
      </c>
      <c r="D184" s="5">
        <v>41549</v>
      </c>
      <c r="E184" s="4" t="s">
        <v>7</v>
      </c>
      <c r="F184" s="4" t="s">
        <v>808</v>
      </c>
    </row>
    <row r="185" spans="1:6" x14ac:dyDescent="0.25">
      <c r="A185" s="4" t="str">
        <f>CONCATENATE("3071-0000-3229","")</f>
        <v>3071-0000-3229</v>
      </c>
      <c r="B185" s="4" t="s">
        <v>1026</v>
      </c>
      <c r="C185" s="5">
        <v>41489</v>
      </c>
      <c r="D185" s="5">
        <v>41549</v>
      </c>
      <c r="E185" s="4" t="s">
        <v>7</v>
      </c>
      <c r="F185" s="4" t="s">
        <v>808</v>
      </c>
    </row>
    <row r="186" spans="1:6" x14ac:dyDescent="0.25">
      <c r="A186" s="4" t="str">
        <f>CONCATENATE("3071-0000-0277","")</f>
        <v>3071-0000-0277</v>
      </c>
      <c r="B186" s="4" t="s">
        <v>667</v>
      </c>
      <c r="C186" s="5">
        <v>41489</v>
      </c>
      <c r="D186" s="5">
        <v>41549</v>
      </c>
      <c r="E186" s="4" t="s">
        <v>7</v>
      </c>
      <c r="F186" s="4" t="s">
        <v>7</v>
      </c>
    </row>
    <row r="187" spans="1:6" x14ac:dyDescent="0.25">
      <c r="A187" s="4" t="str">
        <f>CONCATENATE("3071-0000-5321","")</f>
        <v>3071-0000-5321</v>
      </c>
      <c r="B187" s="4" t="s">
        <v>6751</v>
      </c>
      <c r="C187" s="5">
        <v>41489</v>
      </c>
      <c r="D187" s="5">
        <v>41549</v>
      </c>
      <c r="E187" s="4" t="s">
        <v>5185</v>
      </c>
      <c r="F187" s="4" t="s">
        <v>5185</v>
      </c>
    </row>
    <row r="188" spans="1:6" x14ac:dyDescent="0.25">
      <c r="A188" s="4" t="str">
        <f>CONCATENATE("3071-0000-3927","")</f>
        <v>3071-0000-3927</v>
      </c>
      <c r="B188" s="4" t="s">
        <v>4075</v>
      </c>
      <c r="C188" s="5">
        <v>41489</v>
      </c>
      <c r="D188" s="5">
        <v>41549</v>
      </c>
      <c r="E188" s="4" t="s">
        <v>1381</v>
      </c>
      <c r="F188" s="4" t="s">
        <v>4057</v>
      </c>
    </row>
    <row r="189" spans="1:6" x14ac:dyDescent="0.25">
      <c r="A189" s="4" t="str">
        <f>CONCATENATE("3071-0000-7262","")</f>
        <v>3071-0000-7262</v>
      </c>
      <c r="B189" s="4" t="s">
        <v>5042</v>
      </c>
      <c r="C189" s="5">
        <v>41489</v>
      </c>
      <c r="D189" s="5">
        <v>41549</v>
      </c>
      <c r="E189" s="4" t="s">
        <v>1410</v>
      </c>
      <c r="F189" s="4" t="s">
        <v>1410</v>
      </c>
    </row>
    <row r="190" spans="1:6" x14ac:dyDescent="0.25">
      <c r="A190" s="4" t="str">
        <f>CONCATENATE("3071-0000-7493","")</f>
        <v>3071-0000-7493</v>
      </c>
      <c r="B190" s="4" t="s">
        <v>4551</v>
      </c>
      <c r="C190" s="5">
        <v>41489</v>
      </c>
      <c r="D190" s="5">
        <v>41549</v>
      </c>
      <c r="E190" s="4" t="s">
        <v>1410</v>
      </c>
      <c r="F190" s="4" t="s">
        <v>1410</v>
      </c>
    </row>
    <row r="191" spans="1:6" x14ac:dyDescent="0.25">
      <c r="A191" s="4" t="str">
        <f>CONCATENATE("3071-0000-6906","")</f>
        <v>3071-0000-6906</v>
      </c>
      <c r="B191" s="4" t="s">
        <v>4278</v>
      </c>
      <c r="C191" s="5">
        <v>41489</v>
      </c>
      <c r="D191" s="5">
        <v>41549</v>
      </c>
      <c r="E191" s="4" t="s">
        <v>1410</v>
      </c>
      <c r="F191" s="4" t="s">
        <v>1410</v>
      </c>
    </row>
    <row r="192" spans="1:6" x14ac:dyDescent="0.25">
      <c r="A192" s="4" t="str">
        <f>CONCATENATE("3071-0000-5452","")</f>
        <v>3071-0000-5452</v>
      </c>
      <c r="B192" s="4" t="s">
        <v>6688</v>
      </c>
      <c r="C192" s="5">
        <v>41489</v>
      </c>
      <c r="D192" s="5">
        <v>41549</v>
      </c>
      <c r="E192" s="4" t="s">
        <v>5185</v>
      </c>
      <c r="F192" s="4" t="s">
        <v>5185</v>
      </c>
    </row>
    <row r="193" spans="1:6" x14ac:dyDescent="0.25">
      <c r="A193" s="4" t="str">
        <f>CONCATENATE("3071-0000-5264","")</f>
        <v>3071-0000-5264</v>
      </c>
      <c r="B193" s="4" t="s">
        <v>6783</v>
      </c>
      <c r="C193" s="5">
        <v>41489</v>
      </c>
      <c r="D193" s="5">
        <v>41549</v>
      </c>
      <c r="E193" s="4" t="s">
        <v>5185</v>
      </c>
      <c r="F193" s="4" t="s">
        <v>5185</v>
      </c>
    </row>
    <row r="194" spans="1:6" x14ac:dyDescent="0.25">
      <c r="A194" s="4" t="str">
        <f>CONCATENATE("3071-0000-7384","")</f>
        <v>3071-0000-7384</v>
      </c>
      <c r="B194" s="4" t="s">
        <v>4281</v>
      </c>
      <c r="C194" s="5">
        <v>41489</v>
      </c>
      <c r="D194" s="5">
        <v>41549</v>
      </c>
      <c r="E194" s="4" t="s">
        <v>1410</v>
      </c>
      <c r="F194" s="4" t="s">
        <v>1410</v>
      </c>
    </row>
    <row r="195" spans="1:6" x14ac:dyDescent="0.25">
      <c r="A195" s="4" t="str">
        <f>CONCATENATE("3071-0000-0510","")</f>
        <v>3071-0000-0510</v>
      </c>
      <c r="B195" s="4" t="s">
        <v>162</v>
      </c>
      <c r="C195" s="5">
        <v>41489</v>
      </c>
      <c r="D195" s="5">
        <v>41549</v>
      </c>
      <c r="E195" s="4" t="s">
        <v>7</v>
      </c>
      <c r="F195" s="4" t="s">
        <v>7</v>
      </c>
    </row>
    <row r="196" spans="1:6" x14ac:dyDescent="0.25">
      <c r="A196" s="4" t="str">
        <f>CONCATENATE("3071-0000-0999","")</f>
        <v>3071-0000-0999</v>
      </c>
      <c r="B196" s="4" t="s">
        <v>2223</v>
      </c>
      <c r="C196" s="5">
        <v>41489</v>
      </c>
      <c r="D196" s="5">
        <v>41549</v>
      </c>
      <c r="E196" s="4" t="s">
        <v>1381</v>
      </c>
      <c r="F196" s="4" t="s">
        <v>2215</v>
      </c>
    </row>
    <row r="197" spans="1:6" x14ac:dyDescent="0.25">
      <c r="A197" s="4" t="str">
        <f>CONCATENATE("3071-0000-9594","")</f>
        <v>3071-0000-9594</v>
      </c>
      <c r="B197" s="4" t="s">
        <v>8675</v>
      </c>
      <c r="C197" s="5">
        <v>41489</v>
      </c>
      <c r="D197" s="5">
        <v>41549</v>
      </c>
      <c r="E197" s="4" t="s">
        <v>1410</v>
      </c>
      <c r="F197" s="4" t="s">
        <v>4459</v>
      </c>
    </row>
    <row r="198" spans="1:6" x14ac:dyDescent="0.25">
      <c r="A198" s="4" t="str">
        <f>CONCATENATE("3071-0000-7187","")</f>
        <v>3071-0000-7187</v>
      </c>
      <c r="B198" s="4" t="s">
        <v>4948</v>
      </c>
      <c r="C198" s="5">
        <v>41489</v>
      </c>
      <c r="D198" s="5">
        <v>41549</v>
      </c>
      <c r="E198" s="4" t="s">
        <v>1410</v>
      </c>
      <c r="F198" s="4" t="s">
        <v>1410</v>
      </c>
    </row>
    <row r="199" spans="1:6" x14ac:dyDescent="0.25">
      <c r="A199" s="4" t="str">
        <f>CONCATENATE("3071-0000-6480","")</f>
        <v>3071-0000-6480</v>
      </c>
      <c r="B199" s="4" t="s">
        <v>7776</v>
      </c>
      <c r="C199" s="5">
        <v>41489</v>
      </c>
      <c r="D199" s="5">
        <v>41549</v>
      </c>
      <c r="E199" s="4" t="s">
        <v>5185</v>
      </c>
      <c r="F199" s="4" t="s">
        <v>5185</v>
      </c>
    </row>
    <row r="200" spans="1:6" x14ac:dyDescent="0.25">
      <c r="A200" s="4" t="str">
        <f>CONCATENATE("3071-0000-0457","")</f>
        <v>3071-0000-0457</v>
      </c>
      <c r="B200" s="4" t="s">
        <v>219</v>
      </c>
      <c r="C200" s="5">
        <v>41489</v>
      </c>
      <c r="D200" s="5">
        <v>41549</v>
      </c>
      <c r="E200" s="4" t="s">
        <v>7</v>
      </c>
      <c r="F200" s="4" t="s">
        <v>7</v>
      </c>
    </row>
    <row r="201" spans="1:6" x14ac:dyDescent="0.25">
      <c r="A201" s="4" t="str">
        <f>CONCATENATE("3071-0000-4541","")</f>
        <v>3071-0000-4541</v>
      </c>
      <c r="B201" s="4" t="s">
        <v>9067</v>
      </c>
      <c r="C201" s="5">
        <v>41489</v>
      </c>
      <c r="D201" s="5">
        <v>41549</v>
      </c>
      <c r="E201" s="4" t="s">
        <v>1410</v>
      </c>
      <c r="F201" s="4" t="s">
        <v>8696</v>
      </c>
    </row>
    <row r="202" spans="1:6" x14ac:dyDescent="0.25">
      <c r="A202" s="4" t="str">
        <f>CONCATENATE("3071-0000-9558","")</f>
        <v>3071-0000-9558</v>
      </c>
      <c r="B202" s="4" t="s">
        <v>8402</v>
      </c>
      <c r="C202" s="5">
        <v>41489</v>
      </c>
      <c r="D202" s="5">
        <v>41549</v>
      </c>
      <c r="E202" s="4" t="s">
        <v>1410</v>
      </c>
      <c r="F202" s="4" t="s">
        <v>4459</v>
      </c>
    </row>
    <row r="203" spans="1:6" x14ac:dyDescent="0.25">
      <c r="A203" s="4" t="str">
        <f>CONCATENATE("3071-0000-2144","")</f>
        <v>3071-0000-2144</v>
      </c>
      <c r="B203" s="4" t="s">
        <v>3577</v>
      </c>
      <c r="C203" s="5">
        <v>41489</v>
      </c>
      <c r="D203" s="5">
        <v>41549</v>
      </c>
      <c r="E203" s="4" t="s">
        <v>2944</v>
      </c>
      <c r="F203" s="4" t="s">
        <v>2945</v>
      </c>
    </row>
    <row r="204" spans="1:6" x14ac:dyDescent="0.25">
      <c r="A204" s="4" t="str">
        <f>CONCATENATE("3071-0000-2478","")</f>
        <v>3071-0000-2478</v>
      </c>
      <c r="B204" s="4" t="s">
        <v>3644</v>
      </c>
      <c r="C204" s="5">
        <v>41489</v>
      </c>
      <c r="D204" s="5">
        <v>41549</v>
      </c>
      <c r="E204" s="4" t="s">
        <v>2944</v>
      </c>
      <c r="F204" s="4" t="s">
        <v>3567</v>
      </c>
    </row>
    <row r="205" spans="1:6" x14ac:dyDescent="0.25">
      <c r="A205" s="4" t="str">
        <f>CONCATENATE("3071-0000-0858","")</f>
        <v>3071-0000-0858</v>
      </c>
      <c r="B205" s="4" t="s">
        <v>1952</v>
      </c>
      <c r="C205" s="5">
        <v>41489</v>
      </c>
      <c r="D205" s="5">
        <v>41549</v>
      </c>
      <c r="E205" s="4" t="s">
        <v>1857</v>
      </c>
      <c r="F205" s="4" t="s">
        <v>1857</v>
      </c>
    </row>
    <row r="206" spans="1:6" x14ac:dyDescent="0.25">
      <c r="A206" s="4" t="str">
        <f>CONCATENATE("3071-0000-2477","")</f>
        <v>3071-0000-2477</v>
      </c>
      <c r="B206" s="4" t="s">
        <v>3642</v>
      </c>
      <c r="C206" s="5">
        <v>41489</v>
      </c>
      <c r="D206" s="5">
        <v>41549</v>
      </c>
      <c r="E206" s="4" t="s">
        <v>2944</v>
      </c>
      <c r="F206" s="4" t="s">
        <v>3567</v>
      </c>
    </row>
    <row r="207" spans="1:6" x14ac:dyDescent="0.25">
      <c r="A207" s="4" t="str">
        <f>CONCATENATE("3071-0000-0107","")</f>
        <v>3071-0000-0107</v>
      </c>
      <c r="B207" s="4" t="s">
        <v>222</v>
      </c>
      <c r="C207" s="5">
        <v>41489</v>
      </c>
      <c r="D207" s="5">
        <v>41549</v>
      </c>
      <c r="E207" s="4" t="s">
        <v>7</v>
      </c>
      <c r="F207" s="4" t="s">
        <v>7</v>
      </c>
    </row>
    <row r="208" spans="1:6" x14ac:dyDescent="0.25">
      <c r="A208" s="4" t="str">
        <f>CONCATENATE("3071-0000-1452","")</f>
        <v>3071-0000-1452</v>
      </c>
      <c r="B208" s="4" t="s">
        <v>2691</v>
      </c>
      <c r="C208" s="5">
        <v>41489</v>
      </c>
      <c r="D208" s="5">
        <v>41549</v>
      </c>
      <c r="E208" s="4" t="s">
        <v>1381</v>
      </c>
      <c r="F208" s="4" t="s">
        <v>2303</v>
      </c>
    </row>
    <row r="209" spans="1:6" x14ac:dyDescent="0.25">
      <c r="A209" s="4" t="str">
        <f>CONCATENATE("3071-0000-1328","")</f>
        <v>3071-0000-1328</v>
      </c>
      <c r="B209" s="4" t="s">
        <v>2455</v>
      </c>
      <c r="C209" s="5">
        <v>41489</v>
      </c>
      <c r="D209" s="5">
        <v>41549</v>
      </c>
      <c r="E209" s="4" t="s">
        <v>1381</v>
      </c>
      <c r="F209" s="4" t="s">
        <v>2303</v>
      </c>
    </row>
    <row r="210" spans="1:6" x14ac:dyDescent="0.25">
      <c r="A210" s="4" t="str">
        <f>CONCATENATE("3071-0000-2372","")</f>
        <v>3071-0000-2372</v>
      </c>
      <c r="B210" s="4" t="s">
        <v>2990</v>
      </c>
      <c r="C210" s="5">
        <v>41489</v>
      </c>
      <c r="D210" s="5">
        <v>41549</v>
      </c>
      <c r="E210" s="4" t="s">
        <v>2944</v>
      </c>
      <c r="F210" s="4" t="s">
        <v>2949</v>
      </c>
    </row>
    <row r="211" spans="1:6" x14ac:dyDescent="0.25">
      <c r="A211" s="4" t="str">
        <f>CONCATENATE("3071-0000-0458","")</f>
        <v>3071-0000-0458</v>
      </c>
      <c r="B211" s="4" t="s">
        <v>399</v>
      </c>
      <c r="C211" s="5">
        <v>41489</v>
      </c>
      <c r="D211" s="5">
        <v>41549</v>
      </c>
      <c r="E211" s="4" t="s">
        <v>7</v>
      </c>
      <c r="F211" s="4" t="s">
        <v>7</v>
      </c>
    </row>
    <row r="212" spans="1:6" x14ac:dyDescent="0.25">
      <c r="A212" s="4" t="str">
        <f>CONCATENATE("3071-0000-3498","")</f>
        <v>3071-0000-3498</v>
      </c>
      <c r="B212" s="4" t="s">
        <v>1797</v>
      </c>
      <c r="C212" s="5">
        <v>41489</v>
      </c>
      <c r="D212" s="5">
        <v>41549</v>
      </c>
      <c r="E212" s="4" t="s">
        <v>1410</v>
      </c>
      <c r="F212" s="4" t="s">
        <v>1411</v>
      </c>
    </row>
    <row r="213" spans="1:6" x14ac:dyDescent="0.25">
      <c r="A213" s="4" t="str">
        <f>CONCATENATE("3071-0000-6537","")</f>
        <v>3071-0000-6537</v>
      </c>
      <c r="B213" s="4" t="s">
        <v>7964</v>
      </c>
      <c r="C213" s="5">
        <v>41489</v>
      </c>
      <c r="D213" s="5">
        <v>41549</v>
      </c>
      <c r="E213" s="4" t="s">
        <v>5185</v>
      </c>
      <c r="F213" s="4" t="s">
        <v>5185</v>
      </c>
    </row>
    <row r="214" spans="1:6" x14ac:dyDescent="0.25">
      <c r="A214" s="4" t="str">
        <f>CONCATENATE("3071-0000-6538","")</f>
        <v>3071-0000-6538</v>
      </c>
      <c r="B214" s="4" t="s">
        <v>7965</v>
      </c>
      <c r="C214" s="5">
        <v>41489</v>
      </c>
      <c r="D214" s="5">
        <v>41549</v>
      </c>
      <c r="E214" s="4" t="s">
        <v>5185</v>
      </c>
      <c r="F214" s="4" t="s">
        <v>5185</v>
      </c>
    </row>
    <row r="215" spans="1:6" x14ac:dyDescent="0.25">
      <c r="A215" s="4" t="str">
        <f>CONCATENATE("3071-0000-5291","")</f>
        <v>3071-0000-5291</v>
      </c>
      <c r="B215" s="4" t="s">
        <v>6782</v>
      </c>
      <c r="C215" s="5">
        <v>41489</v>
      </c>
      <c r="D215" s="5">
        <v>41549</v>
      </c>
      <c r="E215" s="4" t="s">
        <v>5185</v>
      </c>
      <c r="F215" s="4" t="s">
        <v>5185</v>
      </c>
    </row>
    <row r="216" spans="1:6" x14ac:dyDescent="0.25">
      <c r="A216" s="4" t="str">
        <f>CONCATENATE("3071-0000-7177","")</f>
        <v>3071-0000-7177</v>
      </c>
      <c r="B216" s="4" t="s">
        <v>5017</v>
      </c>
      <c r="C216" s="5">
        <v>41489</v>
      </c>
      <c r="D216" s="5">
        <v>41549</v>
      </c>
      <c r="E216" s="4" t="s">
        <v>1410</v>
      </c>
      <c r="F216" s="4" t="s">
        <v>1410</v>
      </c>
    </row>
    <row r="217" spans="1:6" x14ac:dyDescent="0.25">
      <c r="A217" s="4" t="str">
        <f>CONCATENATE("3071-0000-7201","")</f>
        <v>3071-0000-7201</v>
      </c>
      <c r="B217" s="4" t="s">
        <v>5025</v>
      </c>
      <c r="C217" s="5">
        <v>41489</v>
      </c>
      <c r="D217" s="5">
        <v>41549</v>
      </c>
      <c r="E217" s="4" t="s">
        <v>1410</v>
      </c>
      <c r="F217" s="4" t="s">
        <v>4616</v>
      </c>
    </row>
    <row r="218" spans="1:6" x14ac:dyDescent="0.25">
      <c r="A218" s="4" t="str">
        <f>CONCATENATE("3071-0000-8597","")</f>
        <v>3071-0000-8597</v>
      </c>
      <c r="B218" s="4" t="s">
        <v>5445</v>
      </c>
      <c r="C218" s="5">
        <v>41489</v>
      </c>
      <c r="D218" s="5">
        <v>41549</v>
      </c>
      <c r="E218" s="4" t="s">
        <v>1410</v>
      </c>
      <c r="F218" s="4" t="s">
        <v>4616</v>
      </c>
    </row>
    <row r="219" spans="1:6" x14ac:dyDescent="0.25">
      <c r="A219" s="4" t="str">
        <f>CONCATENATE("3071-0000-8602","")</f>
        <v>3071-0000-8602</v>
      </c>
      <c r="B219" s="4" t="s">
        <v>5457</v>
      </c>
      <c r="C219" s="5">
        <v>41489</v>
      </c>
      <c r="D219" s="5">
        <v>41549</v>
      </c>
      <c r="E219" s="4" t="s">
        <v>1410</v>
      </c>
      <c r="F219" s="4" t="s">
        <v>4616</v>
      </c>
    </row>
    <row r="220" spans="1:6" x14ac:dyDescent="0.25">
      <c r="A220" s="4" t="str">
        <f>CONCATENATE("3071-0000-6540","")</f>
        <v>3071-0000-6540</v>
      </c>
      <c r="B220" s="4" t="s">
        <v>7970</v>
      </c>
      <c r="C220" s="5">
        <v>41489</v>
      </c>
      <c r="D220" s="5">
        <v>41549</v>
      </c>
      <c r="E220" s="4" t="s">
        <v>5185</v>
      </c>
      <c r="F220" s="4" t="s">
        <v>5185</v>
      </c>
    </row>
    <row r="221" spans="1:6" x14ac:dyDescent="0.25">
      <c r="A221" s="4" t="str">
        <f>CONCATENATE("3071-0000-6773","")</f>
        <v>3071-0000-6773</v>
      </c>
      <c r="B221" s="4" t="s">
        <v>7966</v>
      </c>
      <c r="C221" s="5">
        <v>41489</v>
      </c>
      <c r="D221" s="5">
        <v>41549</v>
      </c>
      <c r="E221" s="4" t="s">
        <v>1410</v>
      </c>
      <c r="F221" s="4" t="s">
        <v>7967</v>
      </c>
    </row>
    <row r="222" spans="1:6" x14ac:dyDescent="0.25">
      <c r="A222" s="4" t="str">
        <f>CONCATENATE("3071-0000-7522","")</f>
        <v>3071-0000-7522</v>
      </c>
      <c r="B222" s="4" t="s">
        <v>4943</v>
      </c>
      <c r="C222" s="5">
        <v>41489</v>
      </c>
      <c r="D222" s="5">
        <v>41549</v>
      </c>
      <c r="E222" s="4" t="s">
        <v>1410</v>
      </c>
      <c r="F222" s="4" t="s">
        <v>4616</v>
      </c>
    </row>
    <row r="223" spans="1:6" x14ac:dyDescent="0.25">
      <c r="A223" s="4" t="str">
        <f>CONCATENATE("3071-0000-8914","")</f>
        <v>3071-0000-8914</v>
      </c>
      <c r="B223" s="4" t="s">
        <v>5322</v>
      </c>
      <c r="C223" s="5">
        <v>41489</v>
      </c>
      <c r="D223" s="5">
        <v>41549</v>
      </c>
      <c r="E223" s="4" t="s">
        <v>1410</v>
      </c>
      <c r="F223" s="4" t="s">
        <v>4616</v>
      </c>
    </row>
    <row r="224" spans="1:6" x14ac:dyDescent="0.25">
      <c r="A224" s="4" t="str">
        <f>CONCATENATE("3071-0000-7693","")</f>
        <v>3071-0000-7693</v>
      </c>
      <c r="B224" s="4" t="s">
        <v>5028</v>
      </c>
      <c r="C224" s="5">
        <v>41489</v>
      </c>
      <c r="D224" s="5">
        <v>41549</v>
      </c>
      <c r="E224" s="4" t="s">
        <v>1410</v>
      </c>
      <c r="F224" s="4" t="s">
        <v>4616</v>
      </c>
    </row>
    <row r="225" spans="1:6" x14ac:dyDescent="0.25">
      <c r="A225" s="4" t="str">
        <f>CONCATENATE("3071-0000-7265","")</f>
        <v>3071-0000-7265</v>
      </c>
      <c r="B225" s="4" t="s">
        <v>5033</v>
      </c>
      <c r="C225" s="5">
        <v>41489</v>
      </c>
      <c r="D225" s="5">
        <v>41549</v>
      </c>
      <c r="E225" s="4" t="s">
        <v>1410</v>
      </c>
      <c r="F225" s="4" t="s">
        <v>1410</v>
      </c>
    </row>
    <row r="226" spans="1:6" x14ac:dyDescent="0.25">
      <c r="A226" s="4" t="str">
        <f>CONCATENATE("3071-0000-7268","")</f>
        <v>3071-0000-7268</v>
      </c>
      <c r="B226" s="4" t="s">
        <v>5102</v>
      </c>
      <c r="C226" s="5">
        <v>41489</v>
      </c>
      <c r="D226" s="5">
        <v>41549</v>
      </c>
      <c r="E226" s="4" t="s">
        <v>1410</v>
      </c>
      <c r="F226" s="4" t="s">
        <v>1410</v>
      </c>
    </row>
    <row r="227" spans="1:6" x14ac:dyDescent="0.25">
      <c r="A227" s="4" t="str">
        <f>CONCATENATE("3071-0000-8596","")</f>
        <v>3071-0000-8596</v>
      </c>
      <c r="B227" s="4" t="s">
        <v>5447</v>
      </c>
      <c r="C227" s="5">
        <v>41489</v>
      </c>
      <c r="D227" s="5">
        <v>41549</v>
      </c>
      <c r="E227" s="4" t="s">
        <v>1410</v>
      </c>
      <c r="F227" s="4" t="s">
        <v>4616</v>
      </c>
    </row>
    <row r="228" spans="1:6" x14ac:dyDescent="0.25">
      <c r="A228" s="4" t="str">
        <f>CONCATENATE("3071-0000-8592","")</f>
        <v>3071-0000-8592</v>
      </c>
      <c r="B228" s="4" t="s">
        <v>5442</v>
      </c>
      <c r="C228" s="5">
        <v>41489</v>
      </c>
      <c r="D228" s="5">
        <v>41549</v>
      </c>
      <c r="E228" s="4" t="s">
        <v>1410</v>
      </c>
      <c r="F228" s="4" t="s">
        <v>4616</v>
      </c>
    </row>
    <row r="229" spans="1:6" x14ac:dyDescent="0.25">
      <c r="A229" s="4" t="str">
        <f>CONCATENATE("3071-0000-7245","")</f>
        <v>3071-0000-7245</v>
      </c>
      <c r="B229" s="4" t="s">
        <v>4934</v>
      </c>
      <c r="C229" s="5">
        <v>41489</v>
      </c>
      <c r="D229" s="5">
        <v>41549</v>
      </c>
      <c r="E229" s="4" t="s">
        <v>1410</v>
      </c>
      <c r="F229" s="4" t="s">
        <v>1410</v>
      </c>
    </row>
    <row r="230" spans="1:6" x14ac:dyDescent="0.25">
      <c r="A230" s="4" t="str">
        <f>CONCATENATE("3071-0000-7677","")</f>
        <v>3071-0000-7677</v>
      </c>
      <c r="B230" s="4" t="s">
        <v>4760</v>
      </c>
      <c r="C230" s="5">
        <v>41489</v>
      </c>
      <c r="D230" s="5">
        <v>41549</v>
      </c>
      <c r="E230" s="4" t="s">
        <v>1410</v>
      </c>
      <c r="F230" s="4" t="s">
        <v>4655</v>
      </c>
    </row>
    <row r="231" spans="1:6" x14ac:dyDescent="0.25">
      <c r="A231" s="4" t="str">
        <f>CONCATENATE("3071-0000-7139","")</f>
        <v>3071-0000-7139</v>
      </c>
      <c r="B231" s="4" t="s">
        <v>4962</v>
      </c>
      <c r="C231" s="5">
        <v>41489</v>
      </c>
      <c r="D231" s="5">
        <v>41549</v>
      </c>
      <c r="E231" s="4" t="s">
        <v>1410</v>
      </c>
      <c r="F231" s="4" t="s">
        <v>1410</v>
      </c>
    </row>
    <row r="232" spans="1:6" x14ac:dyDescent="0.25">
      <c r="A232" s="4" t="str">
        <f>CONCATENATE("3071-0000-8883","")</f>
        <v>3071-0000-8883</v>
      </c>
      <c r="B232" s="4" t="s">
        <v>5735</v>
      </c>
      <c r="C232" s="5">
        <v>41489</v>
      </c>
      <c r="D232" s="5">
        <v>41549</v>
      </c>
      <c r="E232" s="4" t="s">
        <v>5185</v>
      </c>
      <c r="F232" s="4" t="s">
        <v>5250</v>
      </c>
    </row>
    <row r="233" spans="1:6" x14ac:dyDescent="0.25">
      <c r="A233" s="4" t="str">
        <f>CONCATENATE("3071-0000-8882","")</f>
        <v>3071-0000-8882</v>
      </c>
      <c r="B233" s="4" t="s">
        <v>5737</v>
      </c>
      <c r="C233" s="5">
        <v>41489</v>
      </c>
      <c r="D233" s="5">
        <v>41549</v>
      </c>
      <c r="E233" s="4" t="s">
        <v>5185</v>
      </c>
      <c r="F233" s="4" t="s">
        <v>5250</v>
      </c>
    </row>
    <row r="234" spans="1:6" x14ac:dyDescent="0.25">
      <c r="A234" s="4" t="str">
        <f>CONCATENATE("3071-0000-5502","")</f>
        <v>3071-0000-5502</v>
      </c>
      <c r="B234" s="4" t="s">
        <v>6735</v>
      </c>
      <c r="C234" s="5">
        <v>41489</v>
      </c>
      <c r="D234" s="5">
        <v>41549</v>
      </c>
      <c r="E234" s="4" t="s">
        <v>1410</v>
      </c>
      <c r="F234" s="4" t="s">
        <v>6635</v>
      </c>
    </row>
    <row r="235" spans="1:6" x14ac:dyDescent="0.25">
      <c r="A235" s="4" t="str">
        <f>CONCATENATE("3071-0000-5324","")</f>
        <v>3071-0000-5324</v>
      </c>
      <c r="B235" s="4" t="s">
        <v>6677</v>
      </c>
      <c r="C235" s="5">
        <v>41489</v>
      </c>
      <c r="D235" s="5">
        <v>41549</v>
      </c>
      <c r="E235" s="4" t="s">
        <v>5185</v>
      </c>
      <c r="F235" s="4" t="s">
        <v>5185</v>
      </c>
    </row>
    <row r="236" spans="1:6" x14ac:dyDescent="0.25">
      <c r="A236" s="4" t="str">
        <f>CONCATENATE("3071-0000-8227","")</f>
        <v>3071-0000-8227</v>
      </c>
      <c r="B236" s="4" t="s">
        <v>5720</v>
      </c>
      <c r="C236" s="5">
        <v>41489</v>
      </c>
      <c r="D236" s="5">
        <v>41549</v>
      </c>
      <c r="E236" s="4" t="s">
        <v>5185</v>
      </c>
      <c r="F236" s="4" t="s">
        <v>5250</v>
      </c>
    </row>
    <row r="237" spans="1:6" x14ac:dyDescent="0.25">
      <c r="A237" s="4" t="str">
        <f>CONCATENATE("3071-0000-7813","")</f>
        <v>3071-0000-7813</v>
      </c>
      <c r="B237" s="4" t="s">
        <v>5520</v>
      </c>
      <c r="C237" s="5">
        <v>41489</v>
      </c>
      <c r="D237" s="5">
        <v>41549</v>
      </c>
      <c r="E237" s="4" t="s">
        <v>5185</v>
      </c>
      <c r="F237" s="4" t="s">
        <v>5185</v>
      </c>
    </row>
    <row r="238" spans="1:6" x14ac:dyDescent="0.25">
      <c r="A238" s="4" t="str">
        <f>CONCATENATE("3071-0000-5664","")</f>
        <v>3071-0000-5664</v>
      </c>
      <c r="B238" s="4" t="s">
        <v>7156</v>
      </c>
      <c r="C238" s="5">
        <v>41489</v>
      </c>
      <c r="D238" s="5">
        <v>41549</v>
      </c>
      <c r="E238" s="4" t="s">
        <v>5185</v>
      </c>
      <c r="F238" s="4" t="s">
        <v>5185</v>
      </c>
    </row>
    <row r="239" spans="1:6" x14ac:dyDescent="0.25">
      <c r="A239" s="4" t="str">
        <f>CONCATENATE("3071-0000-5877","")</f>
        <v>3071-0000-5877</v>
      </c>
      <c r="B239" s="4" t="s">
        <v>7288</v>
      </c>
      <c r="C239" s="5">
        <v>41489</v>
      </c>
      <c r="D239" s="5">
        <v>41549</v>
      </c>
      <c r="E239" s="4" t="s">
        <v>5185</v>
      </c>
      <c r="F239" s="4" t="s">
        <v>5185</v>
      </c>
    </row>
    <row r="240" spans="1:6" x14ac:dyDescent="0.25">
      <c r="A240" s="4" t="str">
        <f>CONCATENATE("3071-0000-4015","")</f>
        <v>3071-0000-4015</v>
      </c>
      <c r="B240" s="4" t="s">
        <v>4231</v>
      </c>
      <c r="C240" s="5">
        <v>41489</v>
      </c>
      <c r="D240" s="5">
        <v>41549</v>
      </c>
      <c r="E240" s="4" t="s">
        <v>7</v>
      </c>
      <c r="F240" s="4" t="s">
        <v>1419</v>
      </c>
    </row>
    <row r="241" spans="1:6" x14ac:dyDescent="0.25">
      <c r="A241" s="4" t="str">
        <f>CONCATENATE("3071-0000-1168","")</f>
        <v>3071-0000-1168</v>
      </c>
      <c r="B241" s="4" t="s">
        <v>2240</v>
      </c>
      <c r="C241" s="5">
        <v>41489</v>
      </c>
      <c r="D241" s="5">
        <v>41549</v>
      </c>
      <c r="E241" s="4" t="s">
        <v>1381</v>
      </c>
      <c r="F241" s="4" t="s">
        <v>2236</v>
      </c>
    </row>
    <row r="242" spans="1:6" x14ac:dyDescent="0.25">
      <c r="A242" s="4" t="str">
        <f>CONCATENATE("3071-0000-3484","")</f>
        <v>3071-0000-3484</v>
      </c>
      <c r="B242" s="4" t="s">
        <v>1777</v>
      </c>
      <c r="C242" s="5">
        <v>41489</v>
      </c>
      <c r="D242" s="5">
        <v>41549</v>
      </c>
      <c r="E242" s="4" t="s">
        <v>1410</v>
      </c>
      <c r="F242" s="4" t="s">
        <v>1411</v>
      </c>
    </row>
    <row r="243" spans="1:6" x14ac:dyDescent="0.25">
      <c r="A243" s="4" t="str">
        <f>CONCATENATE("3071-0000-1101","")</f>
        <v>3071-0000-1101</v>
      </c>
      <c r="B243" s="4" t="s">
        <v>1936</v>
      </c>
      <c r="C243" s="5">
        <v>41489</v>
      </c>
      <c r="D243" s="5">
        <v>41549</v>
      </c>
      <c r="E243" s="4" t="s">
        <v>1857</v>
      </c>
      <c r="F243" s="4" t="s">
        <v>1857</v>
      </c>
    </row>
    <row r="244" spans="1:6" x14ac:dyDescent="0.25">
      <c r="A244" s="4" t="str">
        <f>CONCATENATE("3071-0000-5392","")</f>
        <v>3071-0000-5392</v>
      </c>
      <c r="B244" s="4" t="s">
        <v>6875</v>
      </c>
      <c r="C244" s="5">
        <v>41489</v>
      </c>
      <c r="D244" s="5">
        <v>41549</v>
      </c>
      <c r="E244" s="4" t="s">
        <v>5185</v>
      </c>
      <c r="F244" s="4" t="s">
        <v>5185</v>
      </c>
    </row>
    <row r="245" spans="1:6" x14ac:dyDescent="0.25">
      <c r="A245" s="4" t="str">
        <f>CONCATENATE("3071-0000-5390","")</f>
        <v>3071-0000-5390</v>
      </c>
      <c r="B245" s="4" t="s">
        <v>6873</v>
      </c>
      <c r="C245" s="5">
        <v>41489</v>
      </c>
      <c r="D245" s="5">
        <v>41549</v>
      </c>
      <c r="E245" s="4" t="s">
        <v>5185</v>
      </c>
      <c r="F245" s="4" t="s">
        <v>5185</v>
      </c>
    </row>
    <row r="246" spans="1:6" x14ac:dyDescent="0.25">
      <c r="A246" s="4" t="str">
        <f>CONCATENATE("3071-0000-5372","")</f>
        <v>3071-0000-5372</v>
      </c>
      <c r="B246" s="4" t="s">
        <v>6881</v>
      </c>
      <c r="C246" s="5">
        <v>41489</v>
      </c>
      <c r="D246" s="5">
        <v>41549</v>
      </c>
      <c r="E246" s="4" t="s">
        <v>5185</v>
      </c>
      <c r="F246" s="4" t="s">
        <v>5185</v>
      </c>
    </row>
    <row r="247" spans="1:6" x14ac:dyDescent="0.25">
      <c r="A247" s="4" t="str">
        <f>CONCATENATE("3071-0000-5365","")</f>
        <v>3071-0000-5365</v>
      </c>
      <c r="B247" s="4" t="s">
        <v>6868</v>
      </c>
      <c r="C247" s="5">
        <v>41489</v>
      </c>
      <c r="D247" s="5">
        <v>41549</v>
      </c>
      <c r="E247" s="4" t="s">
        <v>5185</v>
      </c>
      <c r="F247" s="4" t="s">
        <v>5185</v>
      </c>
    </row>
    <row r="248" spans="1:6" x14ac:dyDescent="0.25">
      <c r="A248" s="4" t="str">
        <f>CONCATENATE("3071-0000-4988","")</f>
        <v>3071-0000-4988</v>
      </c>
      <c r="B248" s="4" t="s">
        <v>9275</v>
      </c>
      <c r="C248" s="5">
        <v>41489</v>
      </c>
      <c r="D248" s="5">
        <v>41549</v>
      </c>
      <c r="E248" s="4" t="s">
        <v>7069</v>
      </c>
      <c r="F248" s="4" t="s">
        <v>9210</v>
      </c>
    </row>
    <row r="249" spans="1:6" x14ac:dyDescent="0.25">
      <c r="A249" s="4" t="str">
        <f>CONCATENATE("3071-0000-6926","")</f>
        <v>3071-0000-6926</v>
      </c>
      <c r="B249" s="4" t="s">
        <v>4596</v>
      </c>
      <c r="C249" s="5">
        <v>41489</v>
      </c>
      <c r="D249" s="5">
        <v>41549</v>
      </c>
      <c r="E249" s="4" t="s">
        <v>1410</v>
      </c>
      <c r="F249" s="4" t="s">
        <v>1410</v>
      </c>
    </row>
    <row r="250" spans="1:6" x14ac:dyDescent="0.25">
      <c r="A250" s="4" t="str">
        <f>CONCATENATE("3071-0000-3048","")</f>
        <v>3071-0000-3048</v>
      </c>
      <c r="B250" s="4" t="s">
        <v>1168</v>
      </c>
      <c r="C250" s="5">
        <v>41489</v>
      </c>
      <c r="D250" s="5">
        <v>41549</v>
      </c>
      <c r="E250" s="4" t="s">
        <v>7</v>
      </c>
      <c r="F250" s="4" t="s">
        <v>808</v>
      </c>
    </row>
    <row r="251" spans="1:6" x14ac:dyDescent="0.25">
      <c r="A251" s="4" t="str">
        <f>CONCATENATE("3071-0000-1191","")</f>
        <v>3071-0000-1191</v>
      </c>
      <c r="B251" s="4" t="s">
        <v>1988</v>
      </c>
      <c r="C251" s="5">
        <v>41489</v>
      </c>
      <c r="D251" s="5">
        <v>41549</v>
      </c>
      <c r="E251" s="4" t="s">
        <v>1857</v>
      </c>
      <c r="F251" s="4" t="s">
        <v>1857</v>
      </c>
    </row>
    <row r="252" spans="1:6" x14ac:dyDescent="0.25">
      <c r="A252" s="4" t="str">
        <f>CONCATENATE("3071-0000-2023","")</f>
        <v>3071-0000-2023</v>
      </c>
      <c r="B252" s="4" t="s">
        <v>3325</v>
      </c>
      <c r="C252" s="5">
        <v>41489</v>
      </c>
      <c r="D252" s="5">
        <v>41549</v>
      </c>
      <c r="E252" s="4" t="s">
        <v>2944</v>
      </c>
      <c r="F252" s="4" t="s">
        <v>2945</v>
      </c>
    </row>
    <row r="253" spans="1:6" x14ac:dyDescent="0.25">
      <c r="A253" s="4" t="str">
        <f>CONCATENATE("3071-0000-0960","")</f>
        <v>3071-0000-0960</v>
      </c>
      <c r="B253" s="4" t="s">
        <v>1956</v>
      </c>
      <c r="C253" s="5">
        <v>41489</v>
      </c>
      <c r="D253" s="5">
        <v>41549</v>
      </c>
      <c r="E253" s="4" t="s">
        <v>1857</v>
      </c>
      <c r="F253" s="4" t="s">
        <v>1857</v>
      </c>
    </row>
    <row r="254" spans="1:6" x14ac:dyDescent="0.25">
      <c r="A254" s="4" t="str">
        <f>CONCATENATE("3071-0000-6593","")</f>
        <v>3071-0000-6593</v>
      </c>
      <c r="B254" s="4" t="s">
        <v>8007</v>
      </c>
      <c r="C254" s="5">
        <v>41489</v>
      </c>
      <c r="D254" s="5">
        <v>41549</v>
      </c>
      <c r="E254" s="4" t="s">
        <v>5185</v>
      </c>
      <c r="F254" s="4" t="s">
        <v>5185</v>
      </c>
    </row>
    <row r="255" spans="1:6" x14ac:dyDescent="0.25">
      <c r="A255" s="4" t="str">
        <f>CONCATENATE("3071-0000-2901","")</f>
        <v>3071-0000-2901</v>
      </c>
      <c r="B255" s="4" t="s">
        <v>1049</v>
      </c>
      <c r="C255" s="5">
        <v>41489</v>
      </c>
      <c r="D255" s="5">
        <v>41549</v>
      </c>
      <c r="E255" s="4" t="s">
        <v>7</v>
      </c>
      <c r="F255" s="4" t="s">
        <v>808</v>
      </c>
    </row>
    <row r="256" spans="1:6" x14ac:dyDescent="0.25">
      <c r="A256" s="4" t="str">
        <f>CONCATENATE("3071-0000-2661","")</f>
        <v>3071-0000-2661</v>
      </c>
      <c r="B256" s="4" t="s">
        <v>3391</v>
      </c>
      <c r="C256" s="5">
        <v>41489</v>
      </c>
      <c r="D256" s="5">
        <v>41549</v>
      </c>
      <c r="E256" s="4" t="s">
        <v>1857</v>
      </c>
      <c r="F256" s="4" t="s">
        <v>3306</v>
      </c>
    </row>
    <row r="257" spans="1:6" x14ac:dyDescent="0.25">
      <c r="A257" s="4" t="str">
        <f>CONCATENATE("3071-0000-5696","")</f>
        <v>3071-0000-5696</v>
      </c>
      <c r="B257" s="4" t="s">
        <v>7433</v>
      </c>
      <c r="C257" s="5">
        <v>41489</v>
      </c>
      <c r="D257" s="5">
        <v>41549</v>
      </c>
      <c r="E257" s="4" t="s">
        <v>5185</v>
      </c>
      <c r="F257" s="4" t="s">
        <v>5185</v>
      </c>
    </row>
    <row r="258" spans="1:6" x14ac:dyDescent="0.25">
      <c r="A258" s="4" t="str">
        <f>CONCATENATE("3071-0000-1580","")</f>
        <v>3071-0000-1580</v>
      </c>
      <c r="B258" s="4" t="s">
        <v>2360</v>
      </c>
      <c r="C258" s="5">
        <v>41489</v>
      </c>
      <c r="D258" s="5">
        <v>41549</v>
      </c>
      <c r="E258" s="4" t="s">
        <v>1381</v>
      </c>
      <c r="F258" s="4" t="s">
        <v>2303</v>
      </c>
    </row>
    <row r="259" spans="1:6" x14ac:dyDescent="0.25">
      <c r="A259" s="4" t="str">
        <f>CONCATENATE("3071-0000-1266","")</f>
        <v>3071-0000-1266</v>
      </c>
      <c r="B259" s="4" t="s">
        <v>2359</v>
      </c>
      <c r="C259" s="5">
        <v>41489</v>
      </c>
      <c r="D259" s="5">
        <v>41549</v>
      </c>
      <c r="E259" s="4" t="s">
        <v>1381</v>
      </c>
      <c r="F259" s="4" t="s">
        <v>2303</v>
      </c>
    </row>
    <row r="260" spans="1:6" x14ac:dyDescent="0.25">
      <c r="A260" s="4" t="str">
        <f>CONCATENATE("3071-0000-2083","")</f>
        <v>3071-0000-2083</v>
      </c>
      <c r="B260" s="4" t="s">
        <v>3468</v>
      </c>
      <c r="C260" s="5">
        <v>41489</v>
      </c>
      <c r="D260" s="5">
        <v>41549</v>
      </c>
      <c r="E260" s="4" t="s">
        <v>2944</v>
      </c>
      <c r="F260" s="4" t="s">
        <v>2945</v>
      </c>
    </row>
    <row r="261" spans="1:6" x14ac:dyDescent="0.25">
      <c r="A261" s="4" t="str">
        <f>CONCATENATE("3071-0000-3385","")</f>
        <v>3071-0000-3385</v>
      </c>
      <c r="B261" s="4" t="s">
        <v>1529</v>
      </c>
      <c r="C261" s="5">
        <v>41489</v>
      </c>
      <c r="D261" s="5">
        <v>41549</v>
      </c>
      <c r="E261" s="4" t="s">
        <v>1410</v>
      </c>
      <c r="F261" s="4" t="s">
        <v>1411</v>
      </c>
    </row>
    <row r="262" spans="1:6" x14ac:dyDescent="0.25">
      <c r="A262" s="4" t="str">
        <f>CONCATENATE("3071-0000-3366","")</f>
        <v>3071-0000-3366</v>
      </c>
      <c r="B262" s="4" t="s">
        <v>1502</v>
      </c>
      <c r="C262" s="5">
        <v>41489</v>
      </c>
      <c r="D262" s="5">
        <v>41549</v>
      </c>
      <c r="E262" s="4" t="s">
        <v>1410</v>
      </c>
      <c r="F262" s="4" t="s">
        <v>1411</v>
      </c>
    </row>
    <row r="263" spans="1:6" x14ac:dyDescent="0.25">
      <c r="A263" s="4" t="str">
        <f>CONCATENATE("3071-0000-3413","")</f>
        <v>3071-0000-3413</v>
      </c>
      <c r="B263" s="4" t="s">
        <v>1594</v>
      </c>
      <c r="C263" s="5">
        <v>41489</v>
      </c>
      <c r="D263" s="5">
        <v>41549</v>
      </c>
      <c r="E263" s="4" t="s">
        <v>1410</v>
      </c>
      <c r="F263" s="4" t="s">
        <v>1411</v>
      </c>
    </row>
    <row r="264" spans="1:6" x14ac:dyDescent="0.25">
      <c r="A264" s="4" t="str">
        <f>CONCATENATE("3071-0000-7723","")</f>
        <v>3071-0000-7723</v>
      </c>
      <c r="B264" s="4" t="s">
        <v>4387</v>
      </c>
      <c r="C264" s="5">
        <v>41489</v>
      </c>
      <c r="D264" s="5">
        <v>41549</v>
      </c>
      <c r="E264" s="4" t="s">
        <v>1410</v>
      </c>
      <c r="F264" s="4" t="s">
        <v>1410</v>
      </c>
    </row>
    <row r="265" spans="1:6" x14ac:dyDescent="0.25">
      <c r="A265" s="4" t="str">
        <f>CONCATENATE("3071-0000-7479","")</f>
        <v>3071-0000-7479</v>
      </c>
      <c r="B265" s="4" t="s">
        <v>4961</v>
      </c>
      <c r="C265" s="5">
        <v>41489</v>
      </c>
      <c r="D265" s="5">
        <v>41549</v>
      </c>
      <c r="E265" s="4" t="s">
        <v>1410</v>
      </c>
      <c r="F265" s="4" t="s">
        <v>1410</v>
      </c>
    </row>
    <row r="266" spans="1:6" x14ac:dyDescent="0.25">
      <c r="A266" s="4" t="str">
        <f>CONCATENATE("3071-0000-7260","")</f>
        <v>3071-0000-7260</v>
      </c>
      <c r="B266" s="4" t="s">
        <v>5039</v>
      </c>
      <c r="C266" s="5">
        <v>41489</v>
      </c>
      <c r="D266" s="5">
        <v>41549</v>
      </c>
      <c r="E266" s="4" t="s">
        <v>1410</v>
      </c>
      <c r="F266" s="4" t="s">
        <v>1410</v>
      </c>
    </row>
    <row r="267" spans="1:6" x14ac:dyDescent="0.25">
      <c r="A267" s="4" t="str">
        <f>CONCATENATE("3071-0000-6234","")</f>
        <v>3071-0000-6234</v>
      </c>
      <c r="B267" s="4" t="s">
        <v>7124</v>
      </c>
      <c r="C267" s="5">
        <v>41489</v>
      </c>
      <c r="D267" s="5">
        <v>41549</v>
      </c>
      <c r="E267" s="4" t="s">
        <v>7069</v>
      </c>
      <c r="F267" s="4" t="s">
        <v>7120</v>
      </c>
    </row>
    <row r="268" spans="1:6" x14ac:dyDescent="0.25">
      <c r="A268" s="4" t="str">
        <f>CONCATENATE("3071-0000-8138","")</f>
        <v>3071-0000-8138</v>
      </c>
      <c r="B268" s="4" t="s">
        <v>5978</v>
      </c>
      <c r="C268" s="5">
        <v>41489</v>
      </c>
      <c r="D268" s="5">
        <v>41549</v>
      </c>
      <c r="E268" s="4" t="s">
        <v>5185</v>
      </c>
      <c r="F268" s="4" t="s">
        <v>5185</v>
      </c>
    </row>
    <row r="269" spans="1:6" x14ac:dyDescent="0.25">
      <c r="A269" s="4" t="str">
        <f>CONCATENATE("3071-0000-9359","")</f>
        <v>3071-0000-9359</v>
      </c>
      <c r="B269" s="4" t="s">
        <v>8440</v>
      </c>
      <c r="C269" s="5">
        <v>41489</v>
      </c>
      <c r="D269" s="5">
        <v>41549</v>
      </c>
      <c r="E269" s="4" t="s">
        <v>1410</v>
      </c>
      <c r="F269" s="4" t="s">
        <v>4459</v>
      </c>
    </row>
    <row r="270" spans="1:6" x14ac:dyDescent="0.25">
      <c r="A270" s="4" t="str">
        <f>CONCATENATE("3071-0000-6288","")</f>
        <v>3071-0000-6288</v>
      </c>
      <c r="B270" s="4" t="s">
        <v>7107</v>
      </c>
      <c r="C270" s="5">
        <v>41489</v>
      </c>
      <c r="D270" s="5">
        <v>41549</v>
      </c>
      <c r="E270" s="4" t="s">
        <v>7069</v>
      </c>
      <c r="F270" s="4" t="s">
        <v>7070</v>
      </c>
    </row>
    <row r="271" spans="1:6" x14ac:dyDescent="0.25">
      <c r="A271" s="4" t="str">
        <f>CONCATENATE("3071-0000-4468","")</f>
        <v>3071-0000-4468</v>
      </c>
      <c r="B271" s="4" t="s">
        <v>9354</v>
      </c>
      <c r="C271" s="5">
        <v>41489</v>
      </c>
      <c r="D271" s="5">
        <v>41549</v>
      </c>
      <c r="E271" s="4" t="s">
        <v>1410</v>
      </c>
      <c r="F271" s="4" t="s">
        <v>8696</v>
      </c>
    </row>
    <row r="272" spans="1:6" x14ac:dyDescent="0.25">
      <c r="A272" s="4" t="str">
        <f>CONCATENATE("3071-0000-4922","")</f>
        <v>3071-0000-4922</v>
      </c>
      <c r="B272" s="4" t="s">
        <v>9339</v>
      </c>
      <c r="C272" s="5">
        <v>41489</v>
      </c>
      <c r="D272" s="5">
        <v>41549</v>
      </c>
      <c r="E272" s="4" t="s">
        <v>7069</v>
      </c>
      <c r="F272" s="4" t="s">
        <v>9210</v>
      </c>
    </row>
    <row r="273" spans="1:6" x14ac:dyDescent="0.25">
      <c r="A273" s="4" t="str">
        <f>CONCATENATE("3071-0000-4458","")</f>
        <v>3071-0000-4458</v>
      </c>
      <c r="B273" s="4" t="s">
        <v>9341</v>
      </c>
      <c r="C273" s="5">
        <v>41489</v>
      </c>
      <c r="D273" s="5">
        <v>41549</v>
      </c>
      <c r="E273" s="4" t="s">
        <v>7069</v>
      </c>
      <c r="F273" s="4" t="s">
        <v>9210</v>
      </c>
    </row>
    <row r="274" spans="1:6" x14ac:dyDescent="0.25">
      <c r="A274" s="4" t="str">
        <f>CONCATENATE("3071-0000-5045","")</f>
        <v>3071-0000-5045</v>
      </c>
      <c r="B274" s="4" t="s">
        <v>9386</v>
      </c>
      <c r="C274" s="5">
        <v>41489</v>
      </c>
      <c r="D274" s="5">
        <v>41549</v>
      </c>
      <c r="E274" s="4" t="s">
        <v>7069</v>
      </c>
      <c r="F274" s="4" t="s">
        <v>9210</v>
      </c>
    </row>
    <row r="275" spans="1:6" x14ac:dyDescent="0.25">
      <c r="A275" s="4" t="str">
        <f>CONCATENATE("3071-0000-4605","")</f>
        <v>3071-0000-4605</v>
      </c>
      <c r="B275" s="4" t="s">
        <v>9133</v>
      </c>
      <c r="C275" s="5">
        <v>41489</v>
      </c>
      <c r="D275" s="5">
        <v>41549</v>
      </c>
      <c r="E275" s="4" t="s">
        <v>1410</v>
      </c>
      <c r="F275" s="4" t="s">
        <v>8696</v>
      </c>
    </row>
    <row r="276" spans="1:6" x14ac:dyDescent="0.25">
      <c r="A276" s="4" t="str">
        <f>CONCATENATE("3071-0000-4616","")</f>
        <v>3071-0000-4616</v>
      </c>
      <c r="B276" s="4" t="s">
        <v>9146</v>
      </c>
      <c r="C276" s="5">
        <v>41489</v>
      </c>
      <c r="D276" s="5">
        <v>41549</v>
      </c>
      <c r="E276" s="4" t="s">
        <v>1410</v>
      </c>
      <c r="F276" s="4" t="s">
        <v>8696</v>
      </c>
    </row>
    <row r="277" spans="1:6" x14ac:dyDescent="0.25">
      <c r="A277" s="4" t="str">
        <f>CONCATENATE("3071-0000-6284","")</f>
        <v>3071-0000-6284</v>
      </c>
      <c r="B277" s="4" t="s">
        <v>7088</v>
      </c>
      <c r="C277" s="5">
        <v>41489</v>
      </c>
      <c r="D277" s="5">
        <v>41549</v>
      </c>
      <c r="E277" s="4" t="s">
        <v>7069</v>
      </c>
      <c r="F277" s="4" t="s">
        <v>7070</v>
      </c>
    </row>
    <row r="278" spans="1:6" x14ac:dyDescent="0.25">
      <c r="A278" s="4" t="str">
        <f>CONCATENATE("3071-0000-5074","")</f>
        <v>3071-0000-5074</v>
      </c>
      <c r="B278" s="4" t="s">
        <v>9458</v>
      </c>
      <c r="C278" s="5">
        <v>41489</v>
      </c>
      <c r="D278" s="5">
        <v>41549</v>
      </c>
      <c r="E278" s="4" t="s">
        <v>7069</v>
      </c>
      <c r="F278" s="4" t="s">
        <v>9210</v>
      </c>
    </row>
    <row r="279" spans="1:6" x14ac:dyDescent="0.25">
      <c r="A279" s="4" t="str">
        <f>CONCATENATE("3071-0000-4611","")</f>
        <v>3071-0000-4611</v>
      </c>
      <c r="B279" s="4" t="s">
        <v>9139</v>
      </c>
      <c r="C279" s="5">
        <v>41489</v>
      </c>
      <c r="D279" s="5">
        <v>41549</v>
      </c>
      <c r="E279" s="4" t="s">
        <v>1410</v>
      </c>
      <c r="F279" s="4" t="s">
        <v>8696</v>
      </c>
    </row>
    <row r="280" spans="1:6" x14ac:dyDescent="0.25">
      <c r="A280" s="4" t="str">
        <f>CONCATENATE("3071-0000-8773","")</f>
        <v>3071-0000-8773</v>
      </c>
      <c r="B280" s="4" t="s">
        <v>6595</v>
      </c>
      <c r="C280" s="5">
        <v>41489</v>
      </c>
      <c r="D280" s="5">
        <v>41549</v>
      </c>
      <c r="E280" s="4" t="s">
        <v>5185</v>
      </c>
      <c r="F280" s="4" t="s">
        <v>5292</v>
      </c>
    </row>
    <row r="281" spans="1:6" x14ac:dyDescent="0.25">
      <c r="A281" s="4" t="str">
        <f>CONCATENATE("3071-0000-5914","")</f>
        <v>3071-0000-5914</v>
      </c>
      <c r="B281" s="4" t="s">
        <v>7193</v>
      </c>
      <c r="C281" s="5">
        <v>41489</v>
      </c>
      <c r="D281" s="5">
        <v>41549</v>
      </c>
      <c r="E281" s="4" t="s">
        <v>5185</v>
      </c>
      <c r="F281" s="4" t="s">
        <v>5185</v>
      </c>
    </row>
    <row r="282" spans="1:6" x14ac:dyDescent="0.25">
      <c r="A282" s="4" t="str">
        <f>CONCATENATE("3071-0000-8406","")</f>
        <v>3071-0000-8406</v>
      </c>
      <c r="B282" s="4" t="s">
        <v>5436</v>
      </c>
      <c r="C282" s="5">
        <v>41489</v>
      </c>
      <c r="D282" s="5">
        <v>41549</v>
      </c>
      <c r="E282" s="4" t="s">
        <v>5185</v>
      </c>
      <c r="F282" s="4" t="s">
        <v>5185</v>
      </c>
    </row>
    <row r="283" spans="1:6" x14ac:dyDescent="0.25">
      <c r="A283" s="4" t="str">
        <f>CONCATENATE("3071-0000-5625","")</f>
        <v>3071-0000-5625</v>
      </c>
      <c r="B283" s="4" t="s">
        <v>7208</v>
      </c>
      <c r="C283" s="5">
        <v>41489</v>
      </c>
      <c r="D283" s="5">
        <v>41549</v>
      </c>
      <c r="E283" s="4" t="s">
        <v>5185</v>
      </c>
      <c r="F283" s="4" t="s">
        <v>5185</v>
      </c>
    </row>
    <row r="284" spans="1:6" x14ac:dyDescent="0.25">
      <c r="A284" s="4" t="str">
        <f>CONCATENATE("3071-0000-6017","")</f>
        <v>3071-0000-6017</v>
      </c>
      <c r="B284" s="4" t="s">
        <v>7218</v>
      </c>
      <c r="C284" s="5">
        <v>41489</v>
      </c>
      <c r="D284" s="5">
        <v>41549</v>
      </c>
      <c r="E284" s="4" t="s">
        <v>7069</v>
      </c>
      <c r="F284" s="4" t="s">
        <v>7183</v>
      </c>
    </row>
    <row r="285" spans="1:6" x14ac:dyDescent="0.25">
      <c r="A285" s="4" t="str">
        <f>CONCATENATE("3071-0000-0051","")</f>
        <v>3071-0000-0051</v>
      </c>
      <c r="B285" s="4" t="s">
        <v>98</v>
      </c>
      <c r="C285" s="5">
        <v>41489</v>
      </c>
      <c r="D285" s="5">
        <v>41549</v>
      </c>
      <c r="E285" s="4" t="s">
        <v>7</v>
      </c>
      <c r="F285" s="4" t="s">
        <v>7</v>
      </c>
    </row>
    <row r="286" spans="1:6" x14ac:dyDescent="0.25">
      <c r="A286" s="4" t="str">
        <f>CONCATENATE("3071-0000-4455","")</f>
        <v>3071-0000-4455</v>
      </c>
      <c r="B286" s="4" t="s">
        <v>9336</v>
      </c>
      <c r="C286" s="5">
        <v>41489</v>
      </c>
      <c r="D286" s="5">
        <v>41549</v>
      </c>
      <c r="E286" s="4" t="s">
        <v>1410</v>
      </c>
      <c r="F286" s="4" t="s">
        <v>8696</v>
      </c>
    </row>
    <row r="287" spans="1:6" x14ac:dyDescent="0.25">
      <c r="A287" s="4" t="str">
        <f>CONCATENATE("3071-0000-5546","")</f>
        <v>3071-0000-5546</v>
      </c>
      <c r="B287" s="4" t="s">
        <v>7390</v>
      </c>
      <c r="C287" s="5">
        <v>41489</v>
      </c>
      <c r="D287" s="5">
        <v>41549</v>
      </c>
      <c r="E287" s="4" t="s">
        <v>5185</v>
      </c>
      <c r="F287" s="4" t="s">
        <v>5185</v>
      </c>
    </row>
    <row r="288" spans="1:6" x14ac:dyDescent="0.25">
      <c r="A288" s="4" t="str">
        <f>CONCATENATE("3071-0000-5547","")</f>
        <v>3071-0000-5547</v>
      </c>
      <c r="B288" s="4" t="s">
        <v>7388</v>
      </c>
      <c r="C288" s="5">
        <v>41489</v>
      </c>
      <c r="D288" s="5">
        <v>41549</v>
      </c>
      <c r="E288" s="4" t="s">
        <v>5185</v>
      </c>
      <c r="F288" s="4" t="s">
        <v>5185</v>
      </c>
    </row>
    <row r="289" spans="1:6" x14ac:dyDescent="0.25">
      <c r="A289" s="4" t="str">
        <f>CONCATENATE("3071-0000-5846","")</f>
        <v>3071-0000-5846</v>
      </c>
      <c r="B289" s="4" t="s">
        <v>7345</v>
      </c>
      <c r="C289" s="5">
        <v>41489</v>
      </c>
      <c r="D289" s="5">
        <v>41549</v>
      </c>
      <c r="E289" s="4" t="s">
        <v>5185</v>
      </c>
      <c r="F289" s="4" t="s">
        <v>5185</v>
      </c>
    </row>
    <row r="290" spans="1:6" x14ac:dyDescent="0.25">
      <c r="A290" s="4" t="str">
        <f>CONCATENATE("3071-0000-5833","")</f>
        <v>3071-0000-5833</v>
      </c>
      <c r="B290" s="4" t="s">
        <v>7332</v>
      </c>
      <c r="C290" s="5">
        <v>41489</v>
      </c>
      <c r="D290" s="5">
        <v>41549</v>
      </c>
      <c r="E290" s="4" t="s">
        <v>5185</v>
      </c>
      <c r="F290" s="4" t="s">
        <v>5185</v>
      </c>
    </row>
    <row r="291" spans="1:6" x14ac:dyDescent="0.25">
      <c r="A291" s="4" t="str">
        <f>CONCATENATE("3071-0000-5854","")</f>
        <v>3071-0000-5854</v>
      </c>
      <c r="B291" s="4" t="s">
        <v>7370</v>
      </c>
      <c r="C291" s="5">
        <v>41489</v>
      </c>
      <c r="D291" s="5">
        <v>41549</v>
      </c>
      <c r="E291" s="4" t="s">
        <v>5185</v>
      </c>
      <c r="F291" s="4" t="s">
        <v>5185</v>
      </c>
    </row>
    <row r="292" spans="1:6" x14ac:dyDescent="0.25">
      <c r="A292" s="4" t="str">
        <f>CONCATENATE("3071-0000-4310","")</f>
        <v>3071-0000-4310</v>
      </c>
      <c r="B292" s="4" t="s">
        <v>8877</v>
      </c>
      <c r="C292" s="5">
        <v>41489</v>
      </c>
      <c r="D292" s="5">
        <v>41549</v>
      </c>
      <c r="E292" s="4" t="s">
        <v>1410</v>
      </c>
      <c r="F292" s="4" t="s">
        <v>8851</v>
      </c>
    </row>
    <row r="293" spans="1:6" x14ac:dyDescent="0.25">
      <c r="A293" s="4" t="str">
        <f>CONCATENATE("3071-0000-5548","")</f>
        <v>3071-0000-5548</v>
      </c>
      <c r="B293" s="4" t="s">
        <v>7367</v>
      </c>
      <c r="C293" s="5">
        <v>41489</v>
      </c>
      <c r="D293" s="5">
        <v>41549</v>
      </c>
      <c r="E293" s="4" t="s">
        <v>5185</v>
      </c>
      <c r="F293" s="4" t="s">
        <v>5185</v>
      </c>
    </row>
    <row r="294" spans="1:6" x14ac:dyDescent="0.25">
      <c r="A294" s="4" t="str">
        <f>CONCATENATE("3071-0000-4752","")</f>
        <v>3071-0000-4752</v>
      </c>
      <c r="B294" s="4" t="s">
        <v>8884</v>
      </c>
      <c r="C294" s="5">
        <v>41489</v>
      </c>
      <c r="D294" s="5">
        <v>41549</v>
      </c>
      <c r="E294" s="4" t="s">
        <v>1410</v>
      </c>
      <c r="F294" s="4" t="s">
        <v>8696</v>
      </c>
    </row>
    <row r="295" spans="1:6" x14ac:dyDescent="0.25">
      <c r="A295" s="4" t="str">
        <f>CONCATENATE("3071-0000-5556","")</f>
        <v>3071-0000-5556</v>
      </c>
      <c r="B295" s="4" t="s">
        <v>7338</v>
      </c>
      <c r="C295" s="5">
        <v>41489</v>
      </c>
      <c r="D295" s="5">
        <v>41549</v>
      </c>
      <c r="E295" s="4" t="s">
        <v>5185</v>
      </c>
      <c r="F295" s="4" t="s">
        <v>5185</v>
      </c>
    </row>
    <row r="296" spans="1:6" x14ac:dyDescent="0.25">
      <c r="A296" s="4" t="str">
        <f>CONCATENATE("3071-0000-5867","")</f>
        <v>3071-0000-5867</v>
      </c>
      <c r="B296" s="4" t="s">
        <v>7356</v>
      </c>
      <c r="C296" s="5">
        <v>41489</v>
      </c>
      <c r="D296" s="5">
        <v>41549</v>
      </c>
      <c r="E296" s="4" t="s">
        <v>5185</v>
      </c>
      <c r="F296" s="4" t="s">
        <v>5185</v>
      </c>
    </row>
    <row r="297" spans="1:6" x14ac:dyDescent="0.25">
      <c r="A297" s="4" t="str">
        <f>CONCATENATE("3071-0000-4321","")</f>
        <v>3071-0000-4321</v>
      </c>
      <c r="B297" s="4" t="s">
        <v>8871</v>
      </c>
      <c r="C297" s="5">
        <v>41489</v>
      </c>
      <c r="D297" s="5">
        <v>41549</v>
      </c>
      <c r="E297" s="4" t="s">
        <v>1410</v>
      </c>
      <c r="F297" s="4" t="s">
        <v>8696</v>
      </c>
    </row>
    <row r="298" spans="1:6" x14ac:dyDescent="0.25">
      <c r="A298" s="4" t="str">
        <f>CONCATENATE("3071-0000-6249","")</f>
        <v>3071-0000-6249</v>
      </c>
      <c r="B298" s="4" t="s">
        <v>7312</v>
      </c>
      <c r="C298" s="5">
        <v>41489</v>
      </c>
      <c r="D298" s="5">
        <v>41549</v>
      </c>
      <c r="E298" s="4" t="s">
        <v>1410</v>
      </c>
      <c r="F298" s="4" t="s">
        <v>7309</v>
      </c>
    </row>
    <row r="299" spans="1:6" x14ac:dyDescent="0.25">
      <c r="A299" s="4" t="str">
        <f>CONCATENATE("3071-0000-5843","")</f>
        <v>3071-0000-5843</v>
      </c>
      <c r="B299" s="4" t="s">
        <v>7313</v>
      </c>
      <c r="C299" s="5">
        <v>41489</v>
      </c>
      <c r="D299" s="5">
        <v>41549</v>
      </c>
      <c r="E299" s="4" t="s">
        <v>5185</v>
      </c>
      <c r="F299" s="4" t="s">
        <v>5185</v>
      </c>
    </row>
    <row r="300" spans="1:6" x14ac:dyDescent="0.25">
      <c r="A300" s="4" t="str">
        <f>CONCATENATE("3071-0000-6262","")</f>
        <v>3071-0000-6262</v>
      </c>
      <c r="B300" s="4" t="s">
        <v>7314</v>
      </c>
      <c r="C300" s="5">
        <v>41489</v>
      </c>
      <c r="D300" s="5">
        <v>41549</v>
      </c>
      <c r="E300" s="4" t="s">
        <v>1410</v>
      </c>
      <c r="F300" s="4" t="s">
        <v>7309</v>
      </c>
    </row>
    <row r="301" spans="1:6" x14ac:dyDescent="0.25">
      <c r="A301" s="4" t="str">
        <f>CONCATENATE("3071-0000-5534","")</f>
        <v>3071-0000-5534</v>
      </c>
      <c r="B301" s="4" t="s">
        <v>7368</v>
      </c>
      <c r="C301" s="5">
        <v>41489</v>
      </c>
      <c r="D301" s="5">
        <v>41549</v>
      </c>
      <c r="E301" s="4" t="s">
        <v>5185</v>
      </c>
      <c r="F301" s="4" t="s">
        <v>5185</v>
      </c>
    </row>
    <row r="302" spans="1:6" x14ac:dyDescent="0.25">
      <c r="A302" s="4" t="str">
        <f>CONCATENATE("3071-0000-7712","")</f>
        <v>3071-0000-7712</v>
      </c>
      <c r="B302" s="4" t="s">
        <v>4302</v>
      </c>
      <c r="C302" s="5">
        <v>41489</v>
      </c>
      <c r="D302" s="5">
        <v>41549</v>
      </c>
      <c r="E302" s="4" t="s">
        <v>1410</v>
      </c>
      <c r="F302" s="4" t="s">
        <v>1410</v>
      </c>
    </row>
    <row r="303" spans="1:6" x14ac:dyDescent="0.25">
      <c r="A303" s="4" t="str">
        <f>CONCATENATE("3071-0000-7006","")</f>
        <v>3071-0000-7006</v>
      </c>
      <c r="B303" s="4" t="s">
        <v>4648</v>
      </c>
      <c r="C303" s="5">
        <v>41489</v>
      </c>
      <c r="D303" s="5">
        <v>41549</v>
      </c>
      <c r="E303" s="4" t="s">
        <v>1410</v>
      </c>
      <c r="F303" s="4" t="s">
        <v>1410</v>
      </c>
    </row>
    <row r="304" spans="1:6" x14ac:dyDescent="0.25">
      <c r="A304" s="4" t="str">
        <f>CONCATENATE("3071-0000-5538","")</f>
        <v>3071-0000-5538</v>
      </c>
      <c r="B304" s="4" t="s">
        <v>7333</v>
      </c>
      <c r="C304" s="5">
        <v>41489</v>
      </c>
      <c r="D304" s="5">
        <v>41549</v>
      </c>
      <c r="E304" s="4" t="s">
        <v>5185</v>
      </c>
      <c r="F304" s="4" t="s">
        <v>5185</v>
      </c>
    </row>
    <row r="305" spans="1:6" x14ac:dyDescent="0.25">
      <c r="A305" s="4" t="str">
        <f>CONCATENATE("3071-0000-5545","")</f>
        <v>3071-0000-5545</v>
      </c>
      <c r="B305" s="4" t="s">
        <v>7385</v>
      </c>
      <c r="C305" s="5">
        <v>41489</v>
      </c>
      <c r="D305" s="5">
        <v>41549</v>
      </c>
      <c r="E305" s="4" t="s">
        <v>5185</v>
      </c>
      <c r="F305" s="4" t="s">
        <v>5185</v>
      </c>
    </row>
    <row r="306" spans="1:6" x14ac:dyDescent="0.25">
      <c r="A306" s="4" t="str">
        <f>CONCATENATE("3071-0000-8776","")</f>
        <v>3071-0000-8776</v>
      </c>
      <c r="B306" s="4" t="s">
        <v>6582</v>
      </c>
      <c r="C306" s="5">
        <v>41489</v>
      </c>
      <c r="D306" s="5">
        <v>41549</v>
      </c>
      <c r="E306" s="4" t="s">
        <v>5185</v>
      </c>
      <c r="F306" s="4" t="s">
        <v>5292</v>
      </c>
    </row>
    <row r="307" spans="1:6" x14ac:dyDescent="0.25">
      <c r="A307" s="4" t="str">
        <f>CONCATENATE("3071-0000-5738","")</f>
        <v>3071-0000-5738</v>
      </c>
      <c r="B307" s="4" t="s">
        <v>7450</v>
      </c>
      <c r="C307" s="5">
        <v>41489</v>
      </c>
      <c r="D307" s="5">
        <v>41549</v>
      </c>
      <c r="E307" s="4" t="s">
        <v>5185</v>
      </c>
      <c r="F307" s="4" t="s">
        <v>5185</v>
      </c>
    </row>
    <row r="308" spans="1:6" x14ac:dyDescent="0.25">
      <c r="A308" s="4" t="str">
        <f>CONCATENATE("3071-0000-5938","")</f>
        <v>3071-0000-5938</v>
      </c>
      <c r="B308" s="4" t="s">
        <v>7524</v>
      </c>
      <c r="C308" s="5">
        <v>41489</v>
      </c>
      <c r="D308" s="5">
        <v>41549</v>
      </c>
      <c r="E308" s="4" t="s">
        <v>5185</v>
      </c>
      <c r="F308" s="4" t="s">
        <v>5185</v>
      </c>
    </row>
    <row r="309" spans="1:6" x14ac:dyDescent="0.25">
      <c r="A309" s="4" t="str">
        <f>CONCATENATE("3071-0000-6333","")</f>
        <v>3071-0000-6333</v>
      </c>
      <c r="B309" s="4" t="s">
        <v>7521</v>
      </c>
      <c r="C309" s="5">
        <v>41489</v>
      </c>
      <c r="D309" s="5">
        <v>41549</v>
      </c>
      <c r="E309" s="4" t="s">
        <v>1410</v>
      </c>
      <c r="F309" s="4" t="s">
        <v>1410</v>
      </c>
    </row>
    <row r="310" spans="1:6" x14ac:dyDescent="0.25">
      <c r="A310" s="4" t="str">
        <f>CONCATENATE("3071-0000-4997","")</f>
        <v>3071-0000-4997</v>
      </c>
      <c r="B310" s="4" t="s">
        <v>9217</v>
      </c>
      <c r="C310" s="5">
        <v>41489</v>
      </c>
      <c r="D310" s="5">
        <v>41549</v>
      </c>
      <c r="E310" s="4" t="s">
        <v>7069</v>
      </c>
      <c r="F310" s="4" t="s">
        <v>9210</v>
      </c>
    </row>
    <row r="311" spans="1:6" x14ac:dyDescent="0.25">
      <c r="A311" s="4" t="str">
        <f>CONCATENATE("3071-0000-4443","")</f>
        <v>3071-0000-4443</v>
      </c>
      <c r="B311" s="4" t="s">
        <v>9319</v>
      </c>
      <c r="C311" s="5">
        <v>41489</v>
      </c>
      <c r="D311" s="5">
        <v>41549</v>
      </c>
      <c r="E311" s="4" t="s">
        <v>1410</v>
      </c>
      <c r="F311" s="4" t="s">
        <v>8696</v>
      </c>
    </row>
    <row r="312" spans="1:6" x14ac:dyDescent="0.25">
      <c r="A312" s="4" t="str">
        <f>CONCATENATE("3071-0000-4460","")</f>
        <v>3071-0000-4460</v>
      </c>
      <c r="B312" s="4" t="s">
        <v>9343</v>
      </c>
      <c r="C312" s="5">
        <v>41489</v>
      </c>
      <c r="D312" s="5">
        <v>41549</v>
      </c>
      <c r="E312" s="4" t="s">
        <v>1410</v>
      </c>
      <c r="F312" s="4" t="s">
        <v>8696</v>
      </c>
    </row>
    <row r="313" spans="1:6" x14ac:dyDescent="0.25">
      <c r="A313" s="4" t="str">
        <f>CONCATENATE("3071-0000-6267","")</f>
        <v>3071-0000-6267</v>
      </c>
      <c r="B313" s="4" t="s">
        <v>7455</v>
      </c>
      <c r="C313" s="5">
        <v>41489</v>
      </c>
      <c r="D313" s="5">
        <v>41549</v>
      </c>
      <c r="E313" s="4" t="s">
        <v>1410</v>
      </c>
      <c r="F313" s="4" t="s">
        <v>7309</v>
      </c>
    </row>
    <row r="314" spans="1:6" x14ac:dyDescent="0.25">
      <c r="A314" s="4" t="str">
        <f>CONCATENATE("3071-0000-6046","")</f>
        <v>3071-0000-6046</v>
      </c>
      <c r="B314" s="4" t="s">
        <v>7490</v>
      </c>
      <c r="C314" s="5">
        <v>41489</v>
      </c>
      <c r="D314" s="5">
        <v>41549</v>
      </c>
      <c r="E314" s="4" t="s">
        <v>1410</v>
      </c>
      <c r="F314" s="4" t="s">
        <v>1410</v>
      </c>
    </row>
    <row r="315" spans="1:6" x14ac:dyDescent="0.25">
      <c r="A315" s="4" t="str">
        <f>CONCATENATE("3071-0000-6991","")</f>
        <v>3071-0000-6991</v>
      </c>
      <c r="B315" s="4" t="s">
        <v>4364</v>
      </c>
      <c r="C315" s="5">
        <v>41489</v>
      </c>
      <c r="D315" s="5">
        <v>41549</v>
      </c>
      <c r="E315" s="4" t="s">
        <v>1410</v>
      </c>
      <c r="F315" s="4" t="s">
        <v>1410</v>
      </c>
    </row>
    <row r="316" spans="1:6" x14ac:dyDescent="0.25">
      <c r="A316" s="4" t="str">
        <f>CONCATENATE("3071-0000-6724","")</f>
        <v>3071-0000-6724</v>
      </c>
      <c r="B316" s="4" t="s">
        <v>7788</v>
      </c>
      <c r="C316" s="5">
        <v>41489</v>
      </c>
      <c r="D316" s="5">
        <v>41549</v>
      </c>
      <c r="E316" s="4" t="s">
        <v>5185</v>
      </c>
      <c r="F316" s="4" t="s">
        <v>5185</v>
      </c>
    </row>
    <row r="317" spans="1:6" x14ac:dyDescent="0.25">
      <c r="A317" s="4" t="str">
        <f>CONCATENATE("3071-0000-6545","")</f>
        <v>3071-0000-6545</v>
      </c>
      <c r="B317" s="4" t="s">
        <v>7791</v>
      </c>
      <c r="C317" s="5">
        <v>41489</v>
      </c>
      <c r="D317" s="5">
        <v>41549</v>
      </c>
      <c r="E317" s="4" t="s">
        <v>5185</v>
      </c>
      <c r="F317" s="4" t="s">
        <v>5185</v>
      </c>
    </row>
    <row r="318" spans="1:6" x14ac:dyDescent="0.25">
      <c r="A318" s="4" t="str">
        <f>CONCATENATE("3071-0000-5861","")</f>
        <v>3071-0000-5861</v>
      </c>
      <c r="B318" s="4" t="s">
        <v>7395</v>
      </c>
      <c r="C318" s="5">
        <v>41489</v>
      </c>
      <c r="D318" s="5">
        <v>41549</v>
      </c>
      <c r="E318" s="4" t="s">
        <v>5185</v>
      </c>
      <c r="F318" s="4" t="s">
        <v>5185</v>
      </c>
    </row>
    <row r="319" spans="1:6" x14ac:dyDescent="0.25">
      <c r="A319" s="4" t="str">
        <f>CONCATENATE("3071-0000-6806","")</f>
        <v>3071-0000-6806</v>
      </c>
      <c r="B319" s="4" t="s">
        <v>7897</v>
      </c>
      <c r="C319" s="5">
        <v>41489</v>
      </c>
      <c r="D319" s="5">
        <v>41549</v>
      </c>
      <c r="E319" s="4" t="s">
        <v>1410</v>
      </c>
      <c r="F319" s="4" t="s">
        <v>4655</v>
      </c>
    </row>
    <row r="320" spans="1:6" x14ac:dyDescent="0.25">
      <c r="A320" s="4" t="str">
        <f>CONCATENATE("3071-0000-9278","")</f>
        <v>3071-0000-9278</v>
      </c>
      <c r="B320" s="4" t="s">
        <v>8291</v>
      </c>
      <c r="C320" s="5">
        <v>41489</v>
      </c>
      <c r="D320" s="5">
        <v>41549</v>
      </c>
      <c r="E320" s="4" t="s">
        <v>5185</v>
      </c>
      <c r="F320" s="4" t="s">
        <v>5185</v>
      </c>
    </row>
    <row r="321" spans="1:6" x14ac:dyDescent="0.25">
      <c r="A321" s="4" t="str">
        <f>CONCATENATE("3071-0000-4470","")</f>
        <v>3071-0000-4470</v>
      </c>
      <c r="B321" s="4" t="s">
        <v>9356</v>
      </c>
      <c r="C321" s="5">
        <v>41489</v>
      </c>
      <c r="D321" s="5">
        <v>41549</v>
      </c>
      <c r="E321" s="4" t="s">
        <v>1410</v>
      </c>
      <c r="F321" s="4" t="s">
        <v>8696</v>
      </c>
    </row>
    <row r="322" spans="1:6" x14ac:dyDescent="0.25">
      <c r="A322" s="4" t="str">
        <f>CONCATENATE("3071-0000-7527","")</f>
        <v>3071-0000-7527</v>
      </c>
      <c r="B322" s="4" t="s">
        <v>4608</v>
      </c>
      <c r="C322" s="5">
        <v>41489</v>
      </c>
      <c r="D322" s="5">
        <v>41549</v>
      </c>
      <c r="E322" s="4" t="s">
        <v>1410</v>
      </c>
      <c r="F322" s="4" t="s">
        <v>1410</v>
      </c>
    </row>
    <row r="323" spans="1:6" x14ac:dyDescent="0.25">
      <c r="A323" s="4" t="str">
        <f>CONCATENATE("3071-0000-6684","")</f>
        <v>3071-0000-6684</v>
      </c>
      <c r="B323" s="4" t="s">
        <v>8029</v>
      </c>
      <c r="C323" s="5">
        <v>41489</v>
      </c>
      <c r="D323" s="5">
        <v>41549</v>
      </c>
      <c r="E323" s="4" t="s">
        <v>5185</v>
      </c>
      <c r="F323" s="4" t="s">
        <v>5185</v>
      </c>
    </row>
    <row r="324" spans="1:6" x14ac:dyDescent="0.25">
      <c r="A324" s="4" t="str">
        <f>CONCATENATE("3071-0000-5917","")</f>
        <v>3071-0000-5917</v>
      </c>
      <c r="B324" s="4" t="s">
        <v>7522</v>
      </c>
      <c r="C324" s="5">
        <v>41489</v>
      </c>
      <c r="D324" s="5">
        <v>41549</v>
      </c>
      <c r="E324" s="4" t="s">
        <v>5185</v>
      </c>
      <c r="F324" s="4" t="s">
        <v>5185</v>
      </c>
    </row>
    <row r="325" spans="1:6" x14ac:dyDescent="0.25">
      <c r="A325" s="4" t="str">
        <f>CONCATENATE("3071-0000-3882","")</f>
        <v>3071-0000-3882</v>
      </c>
      <c r="B325" s="4" t="s">
        <v>4092</v>
      </c>
      <c r="C325" s="5">
        <v>41489</v>
      </c>
      <c r="D325" s="5">
        <v>41549</v>
      </c>
      <c r="E325" s="4" t="s">
        <v>1381</v>
      </c>
      <c r="F325" s="4" t="s">
        <v>3698</v>
      </c>
    </row>
    <row r="326" spans="1:6" x14ac:dyDescent="0.25">
      <c r="A326" s="4" t="str">
        <f>CONCATENATE("3071-0000-6797","")</f>
        <v>3071-0000-6797</v>
      </c>
      <c r="B326" s="4" t="s">
        <v>8255</v>
      </c>
      <c r="C326" s="5">
        <v>41489</v>
      </c>
      <c r="D326" s="5">
        <v>41549</v>
      </c>
      <c r="E326" s="4" t="s">
        <v>1410</v>
      </c>
      <c r="F326" s="4" t="s">
        <v>8192</v>
      </c>
    </row>
    <row r="327" spans="1:6" x14ac:dyDescent="0.25">
      <c r="A327" s="4" t="str">
        <f>CONCATENATE("3071-0000-6779","")</f>
        <v>3071-0000-6779</v>
      </c>
      <c r="B327" s="4" t="s">
        <v>8258</v>
      </c>
      <c r="C327" s="5">
        <v>41489</v>
      </c>
      <c r="D327" s="5">
        <v>41549</v>
      </c>
      <c r="E327" s="4" t="s">
        <v>1410</v>
      </c>
      <c r="F327" s="4" t="s">
        <v>8192</v>
      </c>
    </row>
    <row r="328" spans="1:6" x14ac:dyDescent="0.25">
      <c r="A328" s="4" t="str">
        <f>CONCATENATE("3071-0000-6636","")</f>
        <v>3071-0000-6636</v>
      </c>
      <c r="B328" s="4" t="s">
        <v>8232</v>
      </c>
      <c r="C328" s="5">
        <v>41489</v>
      </c>
      <c r="D328" s="5">
        <v>41549</v>
      </c>
      <c r="E328" s="4" t="s">
        <v>5185</v>
      </c>
      <c r="F328" s="4" t="s">
        <v>5185</v>
      </c>
    </row>
    <row r="329" spans="1:6" x14ac:dyDescent="0.25">
      <c r="A329" s="4" t="str">
        <f>CONCATENATE("3071-0000-9147","")</f>
        <v>3071-0000-9147</v>
      </c>
      <c r="B329" s="4" t="s">
        <v>6549</v>
      </c>
      <c r="C329" s="5">
        <v>41489</v>
      </c>
      <c r="D329" s="5">
        <v>41549</v>
      </c>
      <c r="E329" s="4" t="s">
        <v>5185</v>
      </c>
      <c r="F329" s="4" t="s">
        <v>5292</v>
      </c>
    </row>
    <row r="330" spans="1:6" x14ac:dyDescent="0.25">
      <c r="A330" s="4" t="str">
        <f>CONCATENATE("3071-0000-7636","")</f>
        <v>3071-0000-7636</v>
      </c>
      <c r="B330" s="4" t="s">
        <v>5169</v>
      </c>
      <c r="C330" s="5">
        <v>41489</v>
      </c>
      <c r="D330" s="5">
        <v>41549</v>
      </c>
      <c r="E330" s="4" t="s">
        <v>1410</v>
      </c>
      <c r="F330" s="4" t="s">
        <v>4616</v>
      </c>
    </row>
    <row r="331" spans="1:6" x14ac:dyDescent="0.25">
      <c r="A331" s="4" t="str">
        <f>CONCATENATE("3071-0000-1975","")</f>
        <v>3071-0000-1975</v>
      </c>
      <c r="B331" s="4" t="s">
        <v>3107</v>
      </c>
      <c r="C331" s="5">
        <v>41489</v>
      </c>
      <c r="D331" s="5">
        <v>41549</v>
      </c>
      <c r="E331" s="4" t="s">
        <v>2944</v>
      </c>
      <c r="F331" s="4" t="s">
        <v>2945</v>
      </c>
    </row>
    <row r="332" spans="1:6" x14ac:dyDescent="0.25">
      <c r="A332" s="4" t="str">
        <f>CONCATENATE("3071-0000-2493","")</f>
        <v>3071-0000-2493</v>
      </c>
      <c r="B332" s="4" t="s">
        <v>3596</v>
      </c>
      <c r="C332" s="5">
        <v>41489</v>
      </c>
      <c r="D332" s="5">
        <v>41549</v>
      </c>
      <c r="E332" s="4" t="s">
        <v>2944</v>
      </c>
      <c r="F332" s="4" t="s">
        <v>3593</v>
      </c>
    </row>
    <row r="333" spans="1:6" x14ac:dyDescent="0.25">
      <c r="A333" s="4" t="str">
        <f>CONCATENATE("3071-0000-7064","")</f>
        <v>3071-0000-7064</v>
      </c>
      <c r="B333" s="4" t="s">
        <v>4850</v>
      </c>
      <c r="C333" s="5">
        <v>41489</v>
      </c>
      <c r="D333" s="5">
        <v>41549</v>
      </c>
      <c r="E333" s="4" t="s">
        <v>1410</v>
      </c>
      <c r="F333" s="4" t="s">
        <v>4655</v>
      </c>
    </row>
    <row r="334" spans="1:6" x14ac:dyDescent="0.25">
      <c r="A334" s="4" t="str">
        <f>CONCATENATE("3071-0000-7455","")</f>
        <v>3071-0000-7455</v>
      </c>
      <c r="B334" s="4" t="s">
        <v>4769</v>
      </c>
      <c r="C334" s="5">
        <v>41489</v>
      </c>
      <c r="D334" s="5">
        <v>41549</v>
      </c>
      <c r="E334" s="4" t="s">
        <v>1410</v>
      </c>
      <c r="F334" s="4" t="s">
        <v>4655</v>
      </c>
    </row>
    <row r="335" spans="1:6" x14ac:dyDescent="0.25">
      <c r="A335" s="4" t="str">
        <f>CONCATENATE("3071-0000-7040","")</f>
        <v>3071-0000-7040</v>
      </c>
      <c r="B335" s="4" t="s">
        <v>4878</v>
      </c>
      <c r="C335" s="5">
        <v>41489</v>
      </c>
      <c r="D335" s="5">
        <v>41549</v>
      </c>
      <c r="E335" s="4" t="s">
        <v>1410</v>
      </c>
      <c r="F335" s="4" t="s">
        <v>1410</v>
      </c>
    </row>
    <row r="336" spans="1:6" x14ac:dyDescent="0.25">
      <c r="A336" s="4" t="str">
        <f>CONCATENATE("3071-0000-7285","")</f>
        <v>3071-0000-7285</v>
      </c>
      <c r="B336" s="4" t="s">
        <v>4374</v>
      </c>
      <c r="C336" s="5">
        <v>41489</v>
      </c>
      <c r="D336" s="5">
        <v>41549</v>
      </c>
      <c r="E336" s="4" t="s">
        <v>1410</v>
      </c>
      <c r="F336" s="4" t="s">
        <v>1410</v>
      </c>
    </row>
    <row r="337" spans="1:6" x14ac:dyDescent="0.25">
      <c r="A337" s="4" t="str">
        <f>CONCATENATE("3071-0000-9355","")</f>
        <v>3071-0000-9355</v>
      </c>
      <c r="B337" s="4" t="s">
        <v>8443</v>
      </c>
      <c r="C337" s="5">
        <v>41489</v>
      </c>
      <c r="D337" s="5">
        <v>41549</v>
      </c>
      <c r="E337" s="4" t="s">
        <v>1410</v>
      </c>
      <c r="F337" s="4" t="s">
        <v>4459</v>
      </c>
    </row>
    <row r="338" spans="1:6" x14ac:dyDescent="0.25">
      <c r="A338" s="4" t="str">
        <f>CONCATENATE("3071-0000-9611","")</f>
        <v>3071-0000-9611</v>
      </c>
      <c r="B338" s="4" t="s">
        <v>8447</v>
      </c>
      <c r="C338" s="5">
        <v>41489</v>
      </c>
      <c r="D338" s="5">
        <v>41549</v>
      </c>
      <c r="E338" s="4" t="s">
        <v>1410</v>
      </c>
      <c r="F338" s="4" t="s">
        <v>4459</v>
      </c>
    </row>
    <row r="339" spans="1:6" x14ac:dyDescent="0.25">
      <c r="A339" s="4" t="str">
        <f>CONCATENATE("3071-0000-7757","")</f>
        <v>3071-0000-7757</v>
      </c>
      <c r="B339" s="4" t="s">
        <v>4344</v>
      </c>
      <c r="C339" s="5">
        <v>41489</v>
      </c>
      <c r="D339" s="5">
        <v>41549</v>
      </c>
      <c r="E339" s="4" t="s">
        <v>1410</v>
      </c>
      <c r="F339" s="4" t="s">
        <v>1410</v>
      </c>
    </row>
    <row r="340" spans="1:6" x14ac:dyDescent="0.25">
      <c r="A340" s="4" t="str">
        <f>CONCATENATE("3071-0000-9441","")</f>
        <v>3071-0000-9441</v>
      </c>
      <c r="B340" s="4" t="s">
        <v>8433</v>
      </c>
      <c r="C340" s="5">
        <v>41489</v>
      </c>
      <c r="D340" s="5">
        <v>41549</v>
      </c>
      <c r="E340" s="4" t="s">
        <v>1410</v>
      </c>
      <c r="F340" s="4" t="s">
        <v>7967</v>
      </c>
    </row>
    <row r="341" spans="1:6" x14ac:dyDescent="0.25">
      <c r="A341" s="4" t="str">
        <f>CONCATENATE("3071-0000-9604","")</f>
        <v>3071-0000-9604</v>
      </c>
      <c r="B341" s="4" t="s">
        <v>8677</v>
      </c>
      <c r="C341" s="5">
        <v>41489</v>
      </c>
      <c r="D341" s="5">
        <v>41549</v>
      </c>
      <c r="E341" s="4" t="s">
        <v>1410</v>
      </c>
      <c r="F341" s="4" t="s">
        <v>4459</v>
      </c>
    </row>
    <row r="342" spans="1:6" x14ac:dyDescent="0.25">
      <c r="A342" s="4" t="str">
        <f>CONCATENATE("3071-0000-3392","")</f>
        <v>3071-0000-3392</v>
      </c>
      <c r="B342" s="4" t="s">
        <v>1541</v>
      </c>
      <c r="C342" s="5">
        <v>41489</v>
      </c>
      <c r="D342" s="5">
        <v>41549</v>
      </c>
      <c r="E342" s="4" t="s">
        <v>1410</v>
      </c>
      <c r="F342" s="4" t="s">
        <v>1411</v>
      </c>
    </row>
    <row r="343" spans="1:6" x14ac:dyDescent="0.25">
      <c r="A343" s="4" t="str">
        <f>CONCATENATE("3071-0000-4946","")</f>
        <v>3071-0000-4946</v>
      </c>
      <c r="B343" s="4" t="s">
        <v>8717</v>
      </c>
      <c r="C343" s="5">
        <v>41489</v>
      </c>
      <c r="D343" s="5">
        <v>41549</v>
      </c>
      <c r="E343" s="4" t="s">
        <v>1410</v>
      </c>
      <c r="F343" s="4" t="s">
        <v>8696</v>
      </c>
    </row>
    <row r="344" spans="1:6" x14ac:dyDescent="0.25">
      <c r="A344" s="4" t="str">
        <f>CONCATENATE("3071-0000-6469","")</f>
        <v>3071-0000-6469</v>
      </c>
      <c r="B344" s="4" t="s">
        <v>8120</v>
      </c>
      <c r="C344" s="5">
        <v>41489</v>
      </c>
      <c r="D344" s="5">
        <v>41549</v>
      </c>
      <c r="E344" s="4" t="s">
        <v>5185</v>
      </c>
      <c r="F344" s="4" t="s">
        <v>5185</v>
      </c>
    </row>
    <row r="345" spans="1:6" x14ac:dyDescent="0.25">
      <c r="A345" s="4" t="str">
        <f>CONCATENATE("3071-0000-6918","")</f>
        <v>3071-0000-6918</v>
      </c>
      <c r="B345" s="4" t="s">
        <v>4268</v>
      </c>
      <c r="C345" s="5">
        <v>41489</v>
      </c>
      <c r="D345" s="5">
        <v>41549</v>
      </c>
      <c r="E345" s="4" t="s">
        <v>1410</v>
      </c>
      <c r="F345" s="4" t="s">
        <v>1410</v>
      </c>
    </row>
    <row r="346" spans="1:6" x14ac:dyDescent="0.25">
      <c r="A346" s="4" t="str">
        <f>CONCATENATE("3071-0000-3497","")</f>
        <v>3071-0000-3497</v>
      </c>
      <c r="B346" s="4" t="s">
        <v>1796</v>
      </c>
      <c r="C346" s="5">
        <v>41489</v>
      </c>
      <c r="D346" s="5">
        <v>41549</v>
      </c>
      <c r="E346" s="4" t="s">
        <v>1410</v>
      </c>
      <c r="F346" s="4" t="s">
        <v>1411</v>
      </c>
    </row>
    <row r="347" spans="1:6" x14ac:dyDescent="0.25">
      <c r="A347" s="4" t="str">
        <f>CONCATENATE("3071-0000-9347","")</f>
        <v>3071-0000-9347</v>
      </c>
      <c r="B347" s="4" t="s">
        <v>8462</v>
      </c>
      <c r="C347" s="5">
        <v>41489</v>
      </c>
      <c r="D347" s="5">
        <v>41549</v>
      </c>
      <c r="E347" s="4" t="s">
        <v>1410</v>
      </c>
      <c r="F347" s="4" t="s">
        <v>4459</v>
      </c>
    </row>
    <row r="348" spans="1:6" x14ac:dyDescent="0.25">
      <c r="A348" s="4" t="str">
        <f>CONCATENATE("3071-0000-9467","")</f>
        <v>3071-0000-9467</v>
      </c>
      <c r="B348" s="4" t="s">
        <v>8531</v>
      </c>
      <c r="C348" s="5">
        <v>41489</v>
      </c>
      <c r="D348" s="5">
        <v>41549</v>
      </c>
      <c r="E348" s="4" t="s">
        <v>1410</v>
      </c>
      <c r="F348" s="4" t="s">
        <v>4459</v>
      </c>
    </row>
    <row r="349" spans="1:6" x14ac:dyDescent="0.25">
      <c r="A349" s="4" t="str">
        <f>CONCATENATE("3071-0000-8936","")</f>
        <v>3071-0000-8936</v>
      </c>
      <c r="B349" s="4" t="s">
        <v>5337</v>
      </c>
      <c r="C349" s="5">
        <v>41489</v>
      </c>
      <c r="D349" s="5">
        <v>41549</v>
      </c>
      <c r="E349" s="4" t="s">
        <v>1410</v>
      </c>
      <c r="F349" s="4" t="s">
        <v>4616</v>
      </c>
    </row>
    <row r="350" spans="1:6" x14ac:dyDescent="0.25">
      <c r="A350" s="4" t="str">
        <f>CONCATENATE("3071-0000-6657","")</f>
        <v>3071-0000-6657</v>
      </c>
      <c r="B350" s="4" t="s">
        <v>8023</v>
      </c>
      <c r="C350" s="5">
        <v>41489</v>
      </c>
      <c r="D350" s="5">
        <v>41549</v>
      </c>
      <c r="E350" s="4" t="s">
        <v>5185</v>
      </c>
      <c r="F350" s="4" t="s">
        <v>5185</v>
      </c>
    </row>
    <row r="351" spans="1:6" x14ac:dyDescent="0.25">
      <c r="A351" s="4" t="str">
        <f>CONCATENATE("3071-0000-8917","")</f>
        <v>3071-0000-8917</v>
      </c>
      <c r="B351" s="4" t="s">
        <v>5350</v>
      </c>
      <c r="C351" s="5">
        <v>41489</v>
      </c>
      <c r="D351" s="5">
        <v>41549</v>
      </c>
      <c r="E351" s="4" t="s">
        <v>1410</v>
      </c>
      <c r="F351" s="4" t="s">
        <v>4616</v>
      </c>
    </row>
    <row r="352" spans="1:6" x14ac:dyDescent="0.25">
      <c r="A352" s="4" t="str">
        <f>CONCATENATE("3071-0000-8915","")</f>
        <v>3071-0000-8915</v>
      </c>
      <c r="B352" s="4" t="s">
        <v>5319</v>
      </c>
      <c r="C352" s="5">
        <v>41489</v>
      </c>
      <c r="D352" s="5">
        <v>41549</v>
      </c>
      <c r="E352" s="4" t="s">
        <v>1410</v>
      </c>
      <c r="F352" s="4" t="s">
        <v>4616</v>
      </c>
    </row>
    <row r="353" spans="1:6" x14ac:dyDescent="0.25">
      <c r="A353" s="4" t="str">
        <f>CONCATENATE("3071-0000-9475","")</f>
        <v>3071-0000-9475</v>
      </c>
      <c r="B353" s="4" t="s">
        <v>8577</v>
      </c>
      <c r="C353" s="5">
        <v>41489</v>
      </c>
      <c r="D353" s="5">
        <v>41549</v>
      </c>
      <c r="E353" s="4" t="s">
        <v>1410</v>
      </c>
      <c r="F353" s="4" t="s">
        <v>4459</v>
      </c>
    </row>
    <row r="354" spans="1:6" x14ac:dyDescent="0.25">
      <c r="A354" s="4" t="str">
        <f>CONCATENATE("3071-0000-6791","")</f>
        <v>3071-0000-6791</v>
      </c>
      <c r="B354" s="4" t="s">
        <v>8249</v>
      </c>
      <c r="C354" s="5">
        <v>41489</v>
      </c>
      <c r="D354" s="5">
        <v>41549</v>
      </c>
      <c r="E354" s="4" t="s">
        <v>1410</v>
      </c>
      <c r="F354" s="4" t="s">
        <v>8192</v>
      </c>
    </row>
    <row r="355" spans="1:6" x14ac:dyDescent="0.25">
      <c r="A355" s="4" t="str">
        <f>CONCATENATE("3071-0000-9502","")</f>
        <v>3071-0000-9502</v>
      </c>
      <c r="B355" s="4" t="s">
        <v>8585</v>
      </c>
      <c r="C355" s="5">
        <v>41489</v>
      </c>
      <c r="D355" s="5">
        <v>41549</v>
      </c>
      <c r="E355" s="4" t="s">
        <v>1410</v>
      </c>
      <c r="F355" s="4" t="s">
        <v>4459</v>
      </c>
    </row>
    <row r="356" spans="1:6" x14ac:dyDescent="0.25">
      <c r="A356" s="4" t="str">
        <f>CONCATENATE("3071-0000-8920","")</f>
        <v>3071-0000-8920</v>
      </c>
      <c r="B356" s="4" t="s">
        <v>5351</v>
      </c>
      <c r="C356" s="5">
        <v>41489</v>
      </c>
      <c r="D356" s="5">
        <v>41549</v>
      </c>
      <c r="E356" s="4" t="s">
        <v>1410</v>
      </c>
      <c r="F356" s="4" t="s">
        <v>4616</v>
      </c>
    </row>
    <row r="357" spans="1:6" x14ac:dyDescent="0.25">
      <c r="A357" s="4" t="str">
        <f>CONCATENATE("3071-0000-0303","")</f>
        <v>3071-0000-0303</v>
      </c>
      <c r="B357" s="4" t="s">
        <v>718</v>
      </c>
      <c r="C357" s="5">
        <v>41489</v>
      </c>
      <c r="D357" s="5">
        <v>41549</v>
      </c>
      <c r="E357" s="4" t="s">
        <v>7</v>
      </c>
      <c r="F357" s="4" t="s">
        <v>7</v>
      </c>
    </row>
    <row r="358" spans="1:6" x14ac:dyDescent="0.25">
      <c r="A358" s="4" t="str">
        <f>CONCATENATE("3071-0000-7052","")</f>
        <v>3071-0000-7052</v>
      </c>
      <c r="B358" s="4" t="s">
        <v>4834</v>
      </c>
      <c r="C358" s="5">
        <v>41489</v>
      </c>
      <c r="D358" s="5">
        <v>41549</v>
      </c>
      <c r="E358" s="4" t="s">
        <v>1410</v>
      </c>
      <c r="F358" s="4" t="s">
        <v>1410</v>
      </c>
    </row>
    <row r="359" spans="1:6" x14ac:dyDescent="0.25">
      <c r="A359" s="4" t="str">
        <f>CONCATENATE("3071-0000-6412","")</f>
        <v>3071-0000-6412</v>
      </c>
      <c r="B359" s="4" t="s">
        <v>8074</v>
      </c>
      <c r="C359" s="5">
        <v>41489</v>
      </c>
      <c r="D359" s="5">
        <v>41549</v>
      </c>
      <c r="E359" s="4" t="s">
        <v>5185</v>
      </c>
      <c r="F359" s="4" t="s">
        <v>5185</v>
      </c>
    </row>
    <row r="360" spans="1:6" x14ac:dyDescent="0.25">
      <c r="A360" s="4" t="str">
        <f>CONCATENATE("3071-0000-6506","")</f>
        <v>3071-0000-6506</v>
      </c>
      <c r="B360" s="4" t="s">
        <v>7926</v>
      </c>
      <c r="C360" s="5">
        <v>41489</v>
      </c>
      <c r="D360" s="5">
        <v>41549</v>
      </c>
      <c r="E360" s="4" t="s">
        <v>5185</v>
      </c>
      <c r="F360" s="4" t="s">
        <v>5185</v>
      </c>
    </row>
    <row r="361" spans="1:6" x14ac:dyDescent="0.25">
      <c r="A361" s="4" t="str">
        <f>CONCATENATE("3071-0000-6666","")</f>
        <v>3071-0000-6666</v>
      </c>
      <c r="B361" s="4" t="s">
        <v>7747</v>
      </c>
      <c r="C361" s="5">
        <v>41489</v>
      </c>
      <c r="D361" s="5">
        <v>41549</v>
      </c>
      <c r="E361" s="4" t="s">
        <v>5185</v>
      </c>
      <c r="F361" s="4" t="s">
        <v>5185</v>
      </c>
    </row>
    <row r="362" spans="1:6" x14ac:dyDescent="0.25">
      <c r="A362" s="4" t="str">
        <f>CONCATENATE("3071-0000-6847","")</f>
        <v>3071-0000-6847</v>
      </c>
      <c r="B362" s="4" t="s">
        <v>8055</v>
      </c>
      <c r="C362" s="5">
        <v>41489</v>
      </c>
      <c r="D362" s="5">
        <v>41549</v>
      </c>
      <c r="E362" s="4" t="s">
        <v>1410</v>
      </c>
      <c r="F362" s="4" t="s">
        <v>1613</v>
      </c>
    </row>
    <row r="363" spans="1:6" x14ac:dyDescent="0.25">
      <c r="A363" s="4" t="str">
        <f>CONCATENATE("3071-0000-6507","")</f>
        <v>3071-0000-6507</v>
      </c>
      <c r="B363" s="4" t="s">
        <v>7927</v>
      </c>
      <c r="C363" s="5">
        <v>41489</v>
      </c>
      <c r="D363" s="5">
        <v>41549</v>
      </c>
      <c r="E363" s="4" t="s">
        <v>5185</v>
      </c>
      <c r="F363" s="4" t="s">
        <v>5185</v>
      </c>
    </row>
    <row r="364" spans="1:6" x14ac:dyDescent="0.25">
      <c r="A364" s="4" t="str">
        <f>CONCATENATE("3071-0000-6886","")</f>
        <v>3071-0000-6886</v>
      </c>
      <c r="B364" s="4" t="s">
        <v>4316</v>
      </c>
      <c r="C364" s="5">
        <v>41489</v>
      </c>
      <c r="D364" s="5">
        <v>41549</v>
      </c>
      <c r="E364" s="4" t="s">
        <v>1410</v>
      </c>
      <c r="F364" s="4" t="s">
        <v>1410</v>
      </c>
    </row>
    <row r="365" spans="1:6" x14ac:dyDescent="0.25">
      <c r="A365" s="4" t="str">
        <f>CONCATENATE("3071-0000-9316","")</f>
        <v>3071-0000-9316</v>
      </c>
      <c r="B365" s="4" t="s">
        <v>8616</v>
      </c>
      <c r="C365" s="5">
        <v>41489</v>
      </c>
      <c r="D365" s="5">
        <v>41549</v>
      </c>
      <c r="E365" s="4" t="s">
        <v>5185</v>
      </c>
      <c r="F365" s="4" t="s">
        <v>5185</v>
      </c>
    </row>
    <row r="366" spans="1:6" x14ac:dyDescent="0.25">
      <c r="A366" s="4" t="str">
        <f>CONCATENATE("3071-0000-9476","")</f>
        <v>3071-0000-9476</v>
      </c>
      <c r="B366" s="4" t="s">
        <v>8576</v>
      </c>
      <c r="C366" s="5">
        <v>41489</v>
      </c>
      <c r="D366" s="5">
        <v>41549</v>
      </c>
      <c r="E366" s="4" t="s">
        <v>1410</v>
      </c>
      <c r="F366" s="4" t="s">
        <v>4459</v>
      </c>
    </row>
    <row r="367" spans="1:6" x14ac:dyDescent="0.25">
      <c r="A367" s="4" t="str">
        <f>CONCATENATE("3071-0000-0317","")</f>
        <v>3071-0000-0317</v>
      </c>
      <c r="B367" s="4" t="s">
        <v>106</v>
      </c>
      <c r="C367" s="5">
        <v>41489</v>
      </c>
      <c r="D367" s="5">
        <v>41549</v>
      </c>
      <c r="E367" s="4" t="s">
        <v>7</v>
      </c>
      <c r="F367" s="4" t="s">
        <v>7</v>
      </c>
    </row>
    <row r="368" spans="1:6" x14ac:dyDescent="0.25">
      <c r="A368" s="4" t="str">
        <f>CONCATENATE("3071-0000-7141","")</f>
        <v>3071-0000-7141</v>
      </c>
      <c r="B368" s="4" t="s">
        <v>4972</v>
      </c>
      <c r="C368" s="5">
        <v>41489</v>
      </c>
      <c r="D368" s="5">
        <v>41549</v>
      </c>
      <c r="E368" s="4" t="s">
        <v>1410</v>
      </c>
      <c r="F368" s="4" t="s">
        <v>1410</v>
      </c>
    </row>
    <row r="369" spans="1:6" x14ac:dyDescent="0.25">
      <c r="A369" s="4" t="str">
        <f>CONCATENATE("3071-0000-9471","")</f>
        <v>3071-0000-9471</v>
      </c>
      <c r="B369" s="4" t="s">
        <v>8589</v>
      </c>
      <c r="C369" s="5">
        <v>41489</v>
      </c>
      <c r="D369" s="5">
        <v>41549</v>
      </c>
      <c r="E369" s="4" t="s">
        <v>1410</v>
      </c>
      <c r="F369" s="4" t="s">
        <v>4459</v>
      </c>
    </row>
    <row r="370" spans="1:6" x14ac:dyDescent="0.25">
      <c r="A370" s="4" t="str">
        <f>CONCATENATE("3071-0000-8932","")</f>
        <v>3071-0000-8932</v>
      </c>
      <c r="B370" s="4" t="s">
        <v>5328</v>
      </c>
      <c r="C370" s="5">
        <v>41489</v>
      </c>
      <c r="D370" s="5">
        <v>41549</v>
      </c>
      <c r="E370" s="4" t="s">
        <v>1410</v>
      </c>
      <c r="F370" s="4" t="s">
        <v>4616</v>
      </c>
    </row>
    <row r="371" spans="1:6" x14ac:dyDescent="0.25">
      <c r="A371" s="4" t="str">
        <f>CONCATENATE("3071-0000-7402","")</f>
        <v>3071-0000-7402</v>
      </c>
      <c r="B371" s="4" t="s">
        <v>5080</v>
      </c>
      <c r="C371" s="5">
        <v>41489</v>
      </c>
      <c r="D371" s="5">
        <v>41549</v>
      </c>
      <c r="E371" s="4" t="s">
        <v>1410</v>
      </c>
      <c r="F371" s="4" t="s">
        <v>1410</v>
      </c>
    </row>
    <row r="372" spans="1:6" x14ac:dyDescent="0.25">
      <c r="A372" s="4" t="str">
        <f>CONCATENATE("3071-0000-9366","")</f>
        <v>3071-0000-9366</v>
      </c>
      <c r="B372" s="4" t="s">
        <v>8686</v>
      </c>
      <c r="C372" s="5">
        <v>41489</v>
      </c>
      <c r="D372" s="5">
        <v>41549</v>
      </c>
      <c r="E372" s="4" t="s">
        <v>1410</v>
      </c>
      <c r="F372" s="4" t="s">
        <v>4459</v>
      </c>
    </row>
    <row r="373" spans="1:6" x14ac:dyDescent="0.25">
      <c r="A373" s="4" t="str">
        <f>CONCATENATE("3071-0000-6477","")</f>
        <v>3071-0000-6477</v>
      </c>
      <c r="B373" s="4" t="s">
        <v>8119</v>
      </c>
      <c r="C373" s="5">
        <v>41489</v>
      </c>
      <c r="D373" s="5">
        <v>41549</v>
      </c>
      <c r="E373" s="4" t="s">
        <v>5185</v>
      </c>
      <c r="F373" s="4" t="s">
        <v>5185</v>
      </c>
    </row>
    <row r="374" spans="1:6" x14ac:dyDescent="0.25">
      <c r="A374" s="4" t="str">
        <f>CONCATENATE("3071-0000-7323","")</f>
        <v>3071-0000-7323</v>
      </c>
      <c r="B374" s="4" t="s">
        <v>4777</v>
      </c>
      <c r="C374" s="5">
        <v>41489</v>
      </c>
      <c r="D374" s="5">
        <v>41549</v>
      </c>
      <c r="E374" s="4" t="s">
        <v>1410</v>
      </c>
      <c r="F374" s="4" t="s">
        <v>1410</v>
      </c>
    </row>
    <row r="375" spans="1:6" x14ac:dyDescent="0.25">
      <c r="A375" s="4" t="str">
        <f>CONCATENATE("3071-0000-5457","")</f>
        <v>3071-0000-5457</v>
      </c>
      <c r="B375" s="4" t="s">
        <v>6821</v>
      </c>
      <c r="C375" s="5">
        <v>41489</v>
      </c>
      <c r="D375" s="5">
        <v>41549</v>
      </c>
      <c r="E375" s="4" t="s">
        <v>5185</v>
      </c>
      <c r="F375" s="4" t="s">
        <v>5185</v>
      </c>
    </row>
    <row r="376" spans="1:6" x14ac:dyDescent="0.25">
      <c r="A376" s="4" t="str">
        <f>CONCATENATE("3071-0000-6356","")</f>
        <v>3071-0000-6356</v>
      </c>
      <c r="B376" s="4" t="s">
        <v>7877</v>
      </c>
      <c r="C376" s="5">
        <v>41489</v>
      </c>
      <c r="D376" s="5">
        <v>41549</v>
      </c>
      <c r="E376" s="4" t="s">
        <v>5185</v>
      </c>
      <c r="F376" s="4" t="s">
        <v>5185</v>
      </c>
    </row>
    <row r="377" spans="1:6" x14ac:dyDescent="0.25">
      <c r="A377" s="4" t="str">
        <f>CONCATENATE("3071-0000-3585","")</f>
        <v>3071-0000-3585</v>
      </c>
      <c r="B377" s="4" t="s">
        <v>1586</v>
      </c>
      <c r="C377" s="5">
        <v>41489</v>
      </c>
      <c r="D377" s="5">
        <v>41549</v>
      </c>
      <c r="E377" s="4" t="s">
        <v>1410</v>
      </c>
      <c r="F377" s="4" t="s">
        <v>1411</v>
      </c>
    </row>
    <row r="378" spans="1:6" x14ac:dyDescent="0.25">
      <c r="A378" s="4" t="str">
        <f>CONCATENATE("3071-0000-8222","")</f>
        <v>3071-0000-8222</v>
      </c>
      <c r="B378" s="4" t="s">
        <v>5712</v>
      </c>
      <c r="C378" s="5">
        <v>41489</v>
      </c>
      <c r="D378" s="5">
        <v>41549</v>
      </c>
      <c r="E378" s="4" t="s">
        <v>5185</v>
      </c>
      <c r="F378" s="4" t="s">
        <v>5185</v>
      </c>
    </row>
    <row r="379" spans="1:6" x14ac:dyDescent="0.25">
      <c r="A379" s="4" t="str">
        <f>CONCATENATE("3071-0000-3273","")</f>
        <v>3071-0000-3273</v>
      </c>
      <c r="B379" s="4" t="s">
        <v>823</v>
      </c>
      <c r="C379" s="5">
        <v>41489</v>
      </c>
      <c r="D379" s="5">
        <v>41549</v>
      </c>
      <c r="E379" s="4" t="s">
        <v>7</v>
      </c>
      <c r="F379" s="4" t="s">
        <v>812</v>
      </c>
    </row>
    <row r="380" spans="1:6" x14ac:dyDescent="0.25">
      <c r="A380" s="4" t="str">
        <f>CONCATENATE("3071-0000-0245","")</f>
        <v>3071-0000-0245</v>
      </c>
      <c r="B380" s="4" t="s">
        <v>538</v>
      </c>
      <c r="C380" s="5">
        <v>41489</v>
      </c>
      <c r="D380" s="5">
        <v>41549</v>
      </c>
      <c r="E380" s="4" t="s">
        <v>7</v>
      </c>
      <c r="F380" s="4" t="s">
        <v>7</v>
      </c>
    </row>
    <row r="381" spans="1:6" x14ac:dyDescent="0.25">
      <c r="A381" s="4" t="str">
        <f>CONCATENATE("3071-0000-0450","")</f>
        <v>3071-0000-0450</v>
      </c>
      <c r="B381" s="4" t="s">
        <v>395</v>
      </c>
      <c r="C381" s="5">
        <v>41489</v>
      </c>
      <c r="D381" s="5">
        <v>41549</v>
      </c>
      <c r="E381" s="4" t="s">
        <v>7</v>
      </c>
      <c r="F381" s="4" t="s">
        <v>7</v>
      </c>
    </row>
    <row r="382" spans="1:6" x14ac:dyDescent="0.25">
      <c r="A382" s="4" t="str">
        <f>CONCATENATE("3071-0000-5602","")</f>
        <v>3071-0000-5602</v>
      </c>
      <c r="B382" s="4" t="s">
        <v>7139</v>
      </c>
      <c r="C382" s="5">
        <v>41489</v>
      </c>
      <c r="D382" s="5">
        <v>41549</v>
      </c>
      <c r="E382" s="4" t="s">
        <v>5185</v>
      </c>
      <c r="F382" s="4" t="s">
        <v>5185</v>
      </c>
    </row>
    <row r="383" spans="1:6" x14ac:dyDescent="0.25">
      <c r="A383" s="4" t="str">
        <f>CONCATENATE("3071-0000-6763","")</f>
        <v>3071-0000-6763</v>
      </c>
      <c r="B383" s="4" t="s">
        <v>7900</v>
      </c>
      <c r="C383" s="5">
        <v>41489</v>
      </c>
      <c r="D383" s="5">
        <v>41549</v>
      </c>
      <c r="E383" s="4" t="s">
        <v>1410</v>
      </c>
      <c r="F383" s="4" t="s">
        <v>4655</v>
      </c>
    </row>
    <row r="384" spans="1:6" x14ac:dyDescent="0.25">
      <c r="A384" s="4" t="str">
        <f>CONCATENATE("3071-0000-0634","")</f>
        <v>3071-0000-0634</v>
      </c>
      <c r="B384" s="4" t="s">
        <v>379</v>
      </c>
      <c r="C384" s="5">
        <v>41489</v>
      </c>
      <c r="D384" s="5">
        <v>41549</v>
      </c>
      <c r="E384" s="4" t="s">
        <v>7</v>
      </c>
      <c r="F384" s="4" t="s">
        <v>7</v>
      </c>
    </row>
    <row r="385" spans="1:6" x14ac:dyDescent="0.25">
      <c r="A385" s="4" t="str">
        <f>CONCATENATE("3071-0000-6762","")</f>
        <v>3071-0000-6762</v>
      </c>
      <c r="B385" s="4" t="s">
        <v>7856</v>
      </c>
      <c r="C385" s="5">
        <v>41489</v>
      </c>
      <c r="D385" s="5">
        <v>41549</v>
      </c>
      <c r="E385" s="4" t="s">
        <v>1410</v>
      </c>
      <c r="F385" s="4" t="s">
        <v>4655</v>
      </c>
    </row>
    <row r="386" spans="1:6" x14ac:dyDescent="0.25">
      <c r="A386" s="4" t="str">
        <f>CONCATENATE("3071-0000-7544","")</f>
        <v>3071-0000-7544</v>
      </c>
      <c r="B386" s="4" t="s">
        <v>4571</v>
      </c>
      <c r="C386" s="5">
        <v>41489</v>
      </c>
      <c r="D386" s="5">
        <v>41549</v>
      </c>
      <c r="E386" s="4" t="s">
        <v>1410</v>
      </c>
      <c r="F386" s="4" t="s">
        <v>1410</v>
      </c>
    </row>
    <row r="387" spans="1:6" x14ac:dyDescent="0.25">
      <c r="A387" s="4" t="str">
        <f>CONCATENATE("3071-0000-0354","")</f>
        <v>3071-0000-0354</v>
      </c>
      <c r="B387" s="4" t="s">
        <v>722</v>
      </c>
      <c r="C387" s="5">
        <v>41489</v>
      </c>
      <c r="D387" s="5">
        <v>41549</v>
      </c>
      <c r="E387" s="4" t="s">
        <v>7</v>
      </c>
      <c r="F387" s="4" t="s">
        <v>7</v>
      </c>
    </row>
    <row r="388" spans="1:6" x14ac:dyDescent="0.25">
      <c r="A388" s="4" t="str">
        <f>CONCATENATE("3071-0000-4096","")</f>
        <v>3071-0000-4096</v>
      </c>
      <c r="B388" s="4" t="s">
        <v>3901</v>
      </c>
      <c r="C388" s="5">
        <v>41489</v>
      </c>
      <c r="D388" s="5">
        <v>41549</v>
      </c>
      <c r="E388" s="4" t="s">
        <v>7</v>
      </c>
      <c r="F388" s="4" t="s">
        <v>3818</v>
      </c>
    </row>
    <row r="389" spans="1:6" x14ac:dyDescent="0.25">
      <c r="A389" s="4" t="str">
        <f>CONCATENATE("3071-0000-4495","")</f>
        <v>3071-0000-4495</v>
      </c>
      <c r="B389" s="4" t="s">
        <v>9490</v>
      </c>
      <c r="C389" s="5">
        <v>41489</v>
      </c>
      <c r="D389" s="5">
        <v>41549</v>
      </c>
      <c r="E389" s="4" t="s">
        <v>1410</v>
      </c>
      <c r="F389" s="4" t="s">
        <v>8696</v>
      </c>
    </row>
    <row r="390" spans="1:6" x14ac:dyDescent="0.25">
      <c r="A390" s="4" t="str">
        <f>CONCATENATE("3071-0000-6307","")</f>
        <v>3071-0000-6307</v>
      </c>
      <c r="B390" s="4" t="s">
        <v>7099</v>
      </c>
      <c r="C390" s="5">
        <v>41489</v>
      </c>
      <c r="D390" s="5">
        <v>41549</v>
      </c>
      <c r="E390" s="4" t="s">
        <v>7069</v>
      </c>
      <c r="F390" s="4" t="s">
        <v>7070</v>
      </c>
    </row>
    <row r="391" spans="1:6" x14ac:dyDescent="0.25">
      <c r="A391" s="4" t="str">
        <f>CONCATENATE("3071-0000-0915","")</f>
        <v>3071-0000-0915</v>
      </c>
      <c r="B391" s="4" t="s">
        <v>2123</v>
      </c>
      <c r="C391" s="5">
        <v>41489</v>
      </c>
      <c r="D391" s="5">
        <v>41549</v>
      </c>
      <c r="E391" s="4" t="s">
        <v>1857</v>
      </c>
      <c r="F391" s="4" t="s">
        <v>1857</v>
      </c>
    </row>
    <row r="392" spans="1:6" x14ac:dyDescent="0.25">
      <c r="A392" s="4" t="str">
        <f>CONCATENATE("3071-0000-4482","")</f>
        <v>3071-0000-4482</v>
      </c>
      <c r="B392" s="4" t="s">
        <v>9375</v>
      </c>
      <c r="C392" s="5">
        <v>41489</v>
      </c>
      <c r="D392" s="5">
        <v>41549</v>
      </c>
      <c r="E392" s="4" t="s">
        <v>1410</v>
      </c>
      <c r="F392" s="4" t="s">
        <v>8696</v>
      </c>
    </row>
    <row r="393" spans="1:6" x14ac:dyDescent="0.25">
      <c r="A393" s="4" t="str">
        <f>CONCATENATE("3071-0000-6784","")</f>
        <v>3071-0000-6784</v>
      </c>
      <c r="B393" s="4" t="s">
        <v>8060</v>
      </c>
      <c r="C393" s="5">
        <v>41489</v>
      </c>
      <c r="D393" s="5">
        <v>41549</v>
      </c>
      <c r="E393" s="4" t="s">
        <v>1410</v>
      </c>
      <c r="F393" s="4" t="s">
        <v>4655</v>
      </c>
    </row>
    <row r="394" spans="1:6" x14ac:dyDescent="0.25">
      <c r="A394" s="4" t="str">
        <f>CONCATENATE("3071-0000-6785","")</f>
        <v>3071-0000-6785</v>
      </c>
      <c r="B394" s="4" t="s">
        <v>8061</v>
      </c>
      <c r="C394" s="5">
        <v>41489</v>
      </c>
      <c r="D394" s="5">
        <v>41549</v>
      </c>
      <c r="E394" s="4" t="s">
        <v>1410</v>
      </c>
      <c r="F394" s="4" t="s">
        <v>4655</v>
      </c>
    </row>
    <row r="395" spans="1:6" x14ac:dyDescent="0.25">
      <c r="A395" s="4" t="str">
        <f>CONCATENATE("3071-0000-6691","")</f>
        <v>3071-0000-6691</v>
      </c>
      <c r="B395" s="4" t="s">
        <v>8030</v>
      </c>
      <c r="C395" s="5">
        <v>41489</v>
      </c>
      <c r="D395" s="5">
        <v>41549</v>
      </c>
      <c r="E395" s="4" t="s">
        <v>5185</v>
      </c>
      <c r="F395" s="4" t="s">
        <v>5185</v>
      </c>
    </row>
    <row r="396" spans="1:6" x14ac:dyDescent="0.25">
      <c r="A396" s="4" t="str">
        <f>CONCATENATE("3071-0000-6330","")</f>
        <v>3071-0000-6330</v>
      </c>
      <c r="B396" s="4" t="s">
        <v>7292</v>
      </c>
      <c r="C396" s="5">
        <v>41489</v>
      </c>
      <c r="D396" s="5">
        <v>41549</v>
      </c>
      <c r="E396" s="4" t="s">
        <v>7069</v>
      </c>
      <c r="F396" s="4" t="s">
        <v>7070</v>
      </c>
    </row>
    <row r="397" spans="1:6" x14ac:dyDescent="0.25">
      <c r="A397" s="4" t="str">
        <f>CONCATENATE("3071-0000-2806","")</f>
        <v>3071-0000-2806</v>
      </c>
      <c r="B397" s="4" t="s">
        <v>1053</v>
      </c>
      <c r="C397" s="5">
        <v>41489</v>
      </c>
      <c r="D397" s="5">
        <v>41549</v>
      </c>
      <c r="E397" s="4" t="s">
        <v>7</v>
      </c>
      <c r="F397" s="4" t="s">
        <v>808</v>
      </c>
    </row>
    <row r="398" spans="1:6" x14ac:dyDescent="0.25">
      <c r="A398" s="4" t="str">
        <f>CONCATENATE("3071-0000-5042","")</f>
        <v>3071-0000-5042</v>
      </c>
      <c r="B398" s="4" t="s">
        <v>9191</v>
      </c>
      <c r="C398" s="5">
        <v>41489</v>
      </c>
      <c r="D398" s="5">
        <v>41549</v>
      </c>
      <c r="E398" s="4" t="s">
        <v>7069</v>
      </c>
      <c r="F398" s="4" t="s">
        <v>7070</v>
      </c>
    </row>
    <row r="399" spans="1:6" x14ac:dyDescent="0.25">
      <c r="A399" s="4" t="str">
        <f>CONCATENATE("3071-0000-1018","")</f>
        <v>3071-0000-1018</v>
      </c>
      <c r="B399" s="4" t="s">
        <v>2210</v>
      </c>
      <c r="C399" s="5">
        <v>41489</v>
      </c>
      <c r="D399" s="5">
        <v>41549</v>
      </c>
      <c r="E399" s="4" t="s">
        <v>1857</v>
      </c>
      <c r="F399" s="4" t="s">
        <v>1857</v>
      </c>
    </row>
    <row r="400" spans="1:6" x14ac:dyDescent="0.25">
      <c r="A400" s="4" t="str">
        <f>CONCATENATE("3071-0000-1067","")</f>
        <v>3071-0000-1067</v>
      </c>
      <c r="B400" s="4" t="s">
        <v>2026</v>
      </c>
      <c r="C400" s="5">
        <v>41489</v>
      </c>
      <c r="D400" s="5">
        <v>41549</v>
      </c>
      <c r="E400" s="4" t="s">
        <v>1857</v>
      </c>
      <c r="F400" s="4" t="s">
        <v>1857</v>
      </c>
    </row>
    <row r="401" spans="1:6" x14ac:dyDescent="0.25">
      <c r="A401" s="4" t="str">
        <f>CONCATENATE("3071-0000-1056","")</f>
        <v>3071-0000-1056</v>
      </c>
      <c r="B401" s="4" t="s">
        <v>1994</v>
      </c>
      <c r="C401" s="5">
        <v>41489</v>
      </c>
      <c r="D401" s="5">
        <v>41549</v>
      </c>
      <c r="E401" s="4" t="s">
        <v>1857</v>
      </c>
      <c r="F401" s="4" t="s">
        <v>1857</v>
      </c>
    </row>
    <row r="402" spans="1:6" x14ac:dyDescent="0.25">
      <c r="A402" s="4" t="str">
        <f>CONCATENATE("3071-0000-0819","")</f>
        <v>3071-0000-0819</v>
      </c>
      <c r="B402" s="4" t="s">
        <v>1879</v>
      </c>
      <c r="C402" s="5">
        <v>41489</v>
      </c>
      <c r="D402" s="5">
        <v>41549</v>
      </c>
      <c r="E402" s="4" t="s">
        <v>1857</v>
      </c>
      <c r="F402" s="4" t="s">
        <v>1857</v>
      </c>
    </row>
    <row r="403" spans="1:6" x14ac:dyDescent="0.25">
      <c r="A403" s="4" t="str">
        <f>CONCATENATE("3071-0000-6933","")</f>
        <v>3071-0000-6933</v>
      </c>
      <c r="B403" s="4" t="s">
        <v>4573</v>
      </c>
      <c r="C403" s="5">
        <v>41489</v>
      </c>
      <c r="D403" s="5">
        <v>41549</v>
      </c>
      <c r="E403" s="4" t="s">
        <v>1410</v>
      </c>
      <c r="F403" s="4" t="s">
        <v>1410</v>
      </c>
    </row>
    <row r="404" spans="1:6" x14ac:dyDescent="0.25">
      <c r="A404" s="4" t="str">
        <f>CONCATENATE("3071-0000-3365","")</f>
        <v>3071-0000-3365</v>
      </c>
      <c r="B404" s="4" t="s">
        <v>1500</v>
      </c>
      <c r="C404" s="5">
        <v>41489</v>
      </c>
      <c r="D404" s="5">
        <v>41549</v>
      </c>
      <c r="E404" s="4" t="s">
        <v>1410</v>
      </c>
      <c r="F404" s="4" t="s">
        <v>1411</v>
      </c>
    </row>
    <row r="405" spans="1:6" x14ac:dyDescent="0.25">
      <c r="A405" s="4" t="str">
        <f>CONCATENATE("3071-0000-8508","")</f>
        <v>3071-0000-8508</v>
      </c>
      <c r="B405" s="4" t="s">
        <v>6341</v>
      </c>
      <c r="C405" s="5">
        <v>41489</v>
      </c>
      <c r="D405" s="5">
        <v>41549</v>
      </c>
      <c r="E405" s="4" t="s">
        <v>5185</v>
      </c>
      <c r="F405" s="4" t="s">
        <v>5945</v>
      </c>
    </row>
    <row r="406" spans="1:6" x14ac:dyDescent="0.25">
      <c r="A406" s="4" t="str">
        <f>CONCATENATE("3071-0000-3370","")</f>
        <v>3071-0000-3370</v>
      </c>
      <c r="B406" s="4" t="s">
        <v>1511</v>
      </c>
      <c r="C406" s="5">
        <v>41489</v>
      </c>
      <c r="D406" s="5">
        <v>41549</v>
      </c>
      <c r="E406" s="4" t="s">
        <v>1410</v>
      </c>
      <c r="F406" s="4" t="s">
        <v>1411</v>
      </c>
    </row>
    <row r="407" spans="1:6" x14ac:dyDescent="0.25">
      <c r="A407" s="4" t="str">
        <f>CONCATENATE("3071-0000-3375","")</f>
        <v>3071-0000-3375</v>
      </c>
      <c r="B407" s="4" t="s">
        <v>1517</v>
      </c>
      <c r="C407" s="5">
        <v>41489</v>
      </c>
      <c r="D407" s="5">
        <v>41549</v>
      </c>
      <c r="E407" s="4" t="s">
        <v>1410</v>
      </c>
      <c r="F407" s="4" t="s">
        <v>1411</v>
      </c>
    </row>
    <row r="408" spans="1:6" x14ac:dyDescent="0.25">
      <c r="A408" s="4" t="str">
        <f>CONCATENATE("3071-0000-5587","")</f>
        <v>3071-0000-5587</v>
      </c>
      <c r="B408" s="4" t="s">
        <v>7058</v>
      </c>
      <c r="C408" s="5">
        <v>41489</v>
      </c>
      <c r="D408" s="5">
        <v>41549</v>
      </c>
      <c r="E408" s="4" t="s">
        <v>5185</v>
      </c>
      <c r="F408" s="4" t="s">
        <v>5185</v>
      </c>
    </row>
    <row r="409" spans="1:6" x14ac:dyDescent="0.25">
      <c r="A409" s="4" t="str">
        <f>CONCATENATE("3071-0000-3481","")</f>
        <v>3071-0000-3481</v>
      </c>
      <c r="B409" s="4" t="s">
        <v>1774</v>
      </c>
      <c r="C409" s="5">
        <v>41489</v>
      </c>
      <c r="D409" s="5">
        <v>41549</v>
      </c>
      <c r="E409" s="4" t="s">
        <v>1410</v>
      </c>
      <c r="F409" s="4" t="s">
        <v>1411</v>
      </c>
    </row>
    <row r="410" spans="1:6" x14ac:dyDescent="0.25">
      <c r="A410" s="4" t="str">
        <f>CONCATENATE("3071-0000-3560","")</f>
        <v>3071-0000-3560</v>
      </c>
      <c r="B410" s="4" t="s">
        <v>1506</v>
      </c>
      <c r="C410" s="5">
        <v>41489</v>
      </c>
      <c r="D410" s="5">
        <v>41549</v>
      </c>
      <c r="E410" s="4" t="s">
        <v>1410</v>
      </c>
      <c r="F410" s="4" t="s">
        <v>1411</v>
      </c>
    </row>
    <row r="411" spans="1:6" x14ac:dyDescent="0.25">
      <c r="A411" s="4" t="str">
        <f>CONCATENATE("3071-0000-7777","")</f>
        <v>3071-0000-7777</v>
      </c>
      <c r="B411" s="4" t="s">
        <v>4435</v>
      </c>
      <c r="C411" s="5">
        <v>41489</v>
      </c>
      <c r="D411" s="5">
        <v>41549</v>
      </c>
      <c r="E411" s="4" t="s">
        <v>1410</v>
      </c>
      <c r="F411" s="4" t="s">
        <v>1410</v>
      </c>
    </row>
    <row r="412" spans="1:6" x14ac:dyDescent="0.25">
      <c r="A412" s="4" t="str">
        <f>CONCATENATE("3071-0000-6867","")</f>
        <v>3071-0000-6867</v>
      </c>
      <c r="B412" s="4" t="s">
        <v>4389</v>
      </c>
      <c r="C412" s="5">
        <v>41489</v>
      </c>
      <c r="D412" s="5">
        <v>41549</v>
      </c>
      <c r="E412" s="4" t="s">
        <v>1410</v>
      </c>
      <c r="F412" s="4" t="s">
        <v>1410</v>
      </c>
    </row>
    <row r="413" spans="1:6" x14ac:dyDescent="0.25">
      <c r="A413" s="4" t="str">
        <f>CONCATENATE("3071-0000-6835","")</f>
        <v>3071-0000-6835</v>
      </c>
      <c r="B413" s="4" t="s">
        <v>7825</v>
      </c>
      <c r="C413" s="5">
        <v>41489</v>
      </c>
      <c r="D413" s="5">
        <v>41549</v>
      </c>
      <c r="E413" s="4" t="s">
        <v>1410</v>
      </c>
      <c r="F413" s="4" t="s">
        <v>4655</v>
      </c>
    </row>
    <row r="414" spans="1:6" x14ac:dyDescent="0.25">
      <c r="A414" s="4" t="str">
        <f>CONCATENATE("3071-0000-6673","")</f>
        <v>3071-0000-6673</v>
      </c>
      <c r="B414" s="4" t="s">
        <v>8026</v>
      </c>
      <c r="C414" s="5">
        <v>41489</v>
      </c>
      <c r="D414" s="5">
        <v>41549</v>
      </c>
      <c r="E414" s="4" t="s">
        <v>5185</v>
      </c>
      <c r="F414" s="4" t="s">
        <v>5185</v>
      </c>
    </row>
    <row r="415" spans="1:6" x14ac:dyDescent="0.25">
      <c r="A415" s="4" t="str">
        <f>CONCATENATE("3071-0000-5816","")</f>
        <v>3071-0000-5816</v>
      </c>
      <c r="B415" s="4" t="s">
        <v>7520</v>
      </c>
      <c r="C415" s="5">
        <v>41489</v>
      </c>
      <c r="D415" s="5">
        <v>41549</v>
      </c>
      <c r="E415" s="4" t="s">
        <v>5185</v>
      </c>
      <c r="F415" s="4" t="s">
        <v>5185</v>
      </c>
    </row>
    <row r="416" spans="1:6" x14ac:dyDescent="0.25">
      <c r="A416" s="4" t="str">
        <f>CONCATENATE("3071-0000-7115","")</f>
        <v>3071-0000-7115</v>
      </c>
      <c r="B416" s="4" t="s">
        <v>4764</v>
      </c>
      <c r="C416" s="5">
        <v>41489</v>
      </c>
      <c r="D416" s="5">
        <v>41549</v>
      </c>
      <c r="E416" s="4" t="s">
        <v>1410</v>
      </c>
      <c r="F416" s="4" t="s">
        <v>1410</v>
      </c>
    </row>
    <row r="417" spans="1:6" x14ac:dyDescent="0.25">
      <c r="A417" s="4" t="str">
        <f>CONCATENATE("3071-0000-8625","")</f>
        <v>3071-0000-8625</v>
      </c>
      <c r="B417" s="4" t="s">
        <v>5193</v>
      </c>
      <c r="C417" s="5">
        <v>41489</v>
      </c>
      <c r="D417" s="5">
        <v>41549</v>
      </c>
      <c r="E417" s="4" t="s">
        <v>5185</v>
      </c>
      <c r="F417" s="4" t="s">
        <v>5185</v>
      </c>
    </row>
    <row r="418" spans="1:6" x14ac:dyDescent="0.25">
      <c r="A418" s="4" t="str">
        <f>CONCATENATE("3071-0000-9060","")</f>
        <v>3071-0000-9060</v>
      </c>
      <c r="B418" s="4" t="s">
        <v>6609</v>
      </c>
      <c r="C418" s="5">
        <v>41489</v>
      </c>
      <c r="D418" s="5">
        <v>41549</v>
      </c>
      <c r="E418" s="4" t="s">
        <v>5185</v>
      </c>
      <c r="F418" s="4" t="s">
        <v>5292</v>
      </c>
    </row>
    <row r="419" spans="1:6" x14ac:dyDescent="0.25">
      <c r="A419" s="4" t="str">
        <f>CONCATENATE("3071-0000-7128","")</f>
        <v>3071-0000-7128</v>
      </c>
      <c r="B419" s="4" t="s">
        <v>4793</v>
      </c>
      <c r="C419" s="5">
        <v>41489</v>
      </c>
      <c r="D419" s="5">
        <v>41549</v>
      </c>
      <c r="E419" s="4" t="s">
        <v>1410</v>
      </c>
      <c r="F419" s="4" t="s">
        <v>1410</v>
      </c>
    </row>
    <row r="420" spans="1:6" x14ac:dyDescent="0.25">
      <c r="A420" s="4" t="str">
        <f>CONCATENATE("3071-0000-3205","")</f>
        <v>3071-0000-3205</v>
      </c>
      <c r="B420" s="4" t="s">
        <v>1362</v>
      </c>
      <c r="C420" s="5">
        <v>41489</v>
      </c>
      <c r="D420" s="5">
        <v>41549</v>
      </c>
      <c r="E420" s="4" t="s">
        <v>7</v>
      </c>
      <c r="F420" s="4" t="s">
        <v>982</v>
      </c>
    </row>
    <row r="421" spans="1:6" x14ac:dyDescent="0.25">
      <c r="A421" s="4" t="str">
        <f>CONCATENATE("3071-0000-3818","")</f>
        <v>3071-0000-3818</v>
      </c>
      <c r="B421" s="4" t="s">
        <v>3841</v>
      </c>
      <c r="C421" s="5">
        <v>41489</v>
      </c>
      <c r="D421" s="5">
        <v>41549</v>
      </c>
      <c r="E421" s="4" t="s">
        <v>7</v>
      </c>
      <c r="F421" s="4" t="s">
        <v>3818</v>
      </c>
    </row>
    <row r="422" spans="1:6" x14ac:dyDescent="0.25">
      <c r="A422" s="4" t="str">
        <f>CONCATENATE("3071-0000-0565","")</f>
        <v>3071-0000-0565</v>
      </c>
      <c r="B422" s="4" t="s">
        <v>511</v>
      </c>
      <c r="C422" s="5">
        <v>41489</v>
      </c>
      <c r="D422" s="5">
        <v>41549</v>
      </c>
      <c r="E422" s="4" t="s">
        <v>7</v>
      </c>
      <c r="F422" s="4" t="s">
        <v>7</v>
      </c>
    </row>
    <row r="423" spans="1:6" x14ac:dyDescent="0.25">
      <c r="A423" s="4" t="str">
        <f>CONCATENATE("3071-0000-0381","")</f>
        <v>3071-0000-0381</v>
      </c>
      <c r="B423" s="4" t="s">
        <v>217</v>
      </c>
      <c r="C423" s="5">
        <v>41489</v>
      </c>
      <c r="D423" s="5">
        <v>41549</v>
      </c>
      <c r="E423" s="4" t="s">
        <v>7</v>
      </c>
      <c r="F423" s="4" t="s">
        <v>7</v>
      </c>
    </row>
    <row r="424" spans="1:6" x14ac:dyDescent="0.25">
      <c r="A424" s="4" t="str">
        <f>CONCATENATE("3071-0000-3394","")</f>
        <v>3071-0000-3394</v>
      </c>
      <c r="B424" s="4" t="s">
        <v>1547</v>
      </c>
      <c r="C424" s="5">
        <v>41489</v>
      </c>
      <c r="D424" s="5">
        <v>41549</v>
      </c>
      <c r="E424" s="4" t="s">
        <v>1410</v>
      </c>
      <c r="F424" s="4" t="s">
        <v>1411</v>
      </c>
    </row>
    <row r="425" spans="1:6" x14ac:dyDescent="0.25">
      <c r="A425" s="4" t="str">
        <f>CONCATENATE("3071-0000-7639","")</f>
        <v>3071-0000-7639</v>
      </c>
      <c r="B425" s="4" t="s">
        <v>5166</v>
      </c>
      <c r="C425" s="5">
        <v>41489</v>
      </c>
      <c r="D425" s="5">
        <v>41549</v>
      </c>
      <c r="E425" s="4" t="s">
        <v>1410</v>
      </c>
      <c r="F425" s="4" t="s">
        <v>4616</v>
      </c>
    </row>
    <row r="426" spans="1:6" x14ac:dyDescent="0.25">
      <c r="A426" s="4" t="str">
        <f>CONCATENATE("3071-0000-1186","")</f>
        <v>3071-0000-1186</v>
      </c>
      <c r="B426" s="4" t="s">
        <v>2185</v>
      </c>
      <c r="C426" s="5">
        <v>41489</v>
      </c>
      <c r="D426" s="5">
        <v>41549</v>
      </c>
      <c r="E426" s="4" t="s">
        <v>1857</v>
      </c>
      <c r="F426" s="4" t="s">
        <v>2052</v>
      </c>
    </row>
    <row r="427" spans="1:6" x14ac:dyDescent="0.25">
      <c r="A427" s="4" t="str">
        <f>CONCATENATE("3071-0000-1181","")</f>
        <v>3071-0000-1181</v>
      </c>
      <c r="B427" s="4" t="s">
        <v>2181</v>
      </c>
      <c r="C427" s="5">
        <v>41489</v>
      </c>
      <c r="D427" s="5">
        <v>41549</v>
      </c>
      <c r="E427" s="4" t="s">
        <v>7</v>
      </c>
      <c r="F427" s="4" t="s">
        <v>7</v>
      </c>
    </row>
    <row r="428" spans="1:6" x14ac:dyDescent="0.25">
      <c r="A428" s="4" t="str">
        <f>CONCATENATE("3071-0000-1013","")</f>
        <v>3071-0000-1013</v>
      </c>
      <c r="B428" s="4" t="s">
        <v>2229</v>
      </c>
      <c r="C428" s="5">
        <v>41489</v>
      </c>
      <c r="D428" s="5">
        <v>41549</v>
      </c>
      <c r="E428" s="4" t="s">
        <v>1857</v>
      </c>
      <c r="F428" s="4" t="s">
        <v>1857</v>
      </c>
    </row>
    <row r="429" spans="1:6" x14ac:dyDescent="0.25">
      <c r="A429" s="4" t="str">
        <f>CONCATENATE("3071-0000-1130","")</f>
        <v>3071-0000-1130</v>
      </c>
      <c r="B429" s="4" t="s">
        <v>2076</v>
      </c>
      <c r="C429" s="5">
        <v>41489</v>
      </c>
      <c r="D429" s="5">
        <v>41549</v>
      </c>
      <c r="E429" s="4" t="s">
        <v>1857</v>
      </c>
      <c r="F429" s="4" t="s">
        <v>2052</v>
      </c>
    </row>
    <row r="430" spans="1:6" x14ac:dyDescent="0.25">
      <c r="A430" s="4" t="str">
        <f>CONCATENATE("3071-0000-1135","")</f>
        <v>3071-0000-1135</v>
      </c>
      <c r="B430" s="4" t="s">
        <v>2079</v>
      </c>
      <c r="C430" s="5">
        <v>41489</v>
      </c>
      <c r="D430" s="5">
        <v>41549</v>
      </c>
      <c r="E430" s="4" t="s">
        <v>1857</v>
      </c>
      <c r="F430" s="4" t="s">
        <v>2052</v>
      </c>
    </row>
    <row r="431" spans="1:6" x14ac:dyDescent="0.25">
      <c r="A431" s="4" t="str">
        <f>CONCATENATE("3071-0000-0486","")</f>
        <v>3071-0000-0486</v>
      </c>
      <c r="B431" s="4" t="s">
        <v>727</v>
      </c>
      <c r="C431" s="5">
        <v>41489</v>
      </c>
      <c r="D431" s="5">
        <v>41549</v>
      </c>
      <c r="E431" s="4" t="s">
        <v>7</v>
      </c>
      <c r="F431" s="4" t="s">
        <v>273</v>
      </c>
    </row>
    <row r="432" spans="1:6" x14ac:dyDescent="0.25">
      <c r="A432" s="4" t="str">
        <f>CONCATENATE("3071-0000-1080","")</f>
        <v>3071-0000-1080</v>
      </c>
      <c r="B432" s="4" t="s">
        <v>1912</v>
      </c>
      <c r="C432" s="5">
        <v>41489</v>
      </c>
      <c r="D432" s="5">
        <v>41549</v>
      </c>
      <c r="E432" s="4" t="s">
        <v>1857</v>
      </c>
      <c r="F432" s="4" t="s">
        <v>1857</v>
      </c>
    </row>
    <row r="433" spans="1:6" x14ac:dyDescent="0.25">
      <c r="A433" s="4" t="str">
        <f>CONCATENATE("3071-0000-0357","")</f>
        <v>3071-0000-0357</v>
      </c>
      <c r="B433" s="4" t="s">
        <v>739</v>
      </c>
      <c r="C433" s="5">
        <v>41489</v>
      </c>
      <c r="D433" s="5">
        <v>41549</v>
      </c>
      <c r="E433" s="4" t="s">
        <v>7</v>
      </c>
      <c r="F433" s="4" t="s">
        <v>7</v>
      </c>
    </row>
    <row r="434" spans="1:6" x14ac:dyDescent="0.25">
      <c r="A434" s="4" t="str">
        <f>CONCATENATE("3071-0000-1291","")</f>
        <v>3071-0000-1291</v>
      </c>
      <c r="B434" s="4" t="s">
        <v>2401</v>
      </c>
      <c r="C434" s="5">
        <v>41489</v>
      </c>
      <c r="D434" s="5">
        <v>41549</v>
      </c>
      <c r="E434" s="4" t="s">
        <v>1381</v>
      </c>
      <c r="F434" s="4" t="s">
        <v>2303</v>
      </c>
    </row>
    <row r="435" spans="1:6" x14ac:dyDescent="0.25">
      <c r="A435" s="4" t="str">
        <f>CONCATENATE("3071-0000-1658","")</f>
        <v>3071-0000-1658</v>
      </c>
      <c r="B435" s="4" t="s">
        <v>2930</v>
      </c>
      <c r="C435" s="5">
        <v>41489</v>
      </c>
      <c r="D435" s="5">
        <v>41549</v>
      </c>
      <c r="E435" s="4" t="s">
        <v>1381</v>
      </c>
      <c r="F435" s="4" t="s">
        <v>2662</v>
      </c>
    </row>
    <row r="436" spans="1:6" x14ac:dyDescent="0.25">
      <c r="A436" s="4" t="str">
        <f>CONCATENATE("3071-0000-1635","")</f>
        <v>3071-0000-1635</v>
      </c>
      <c r="B436" s="4" t="s">
        <v>2708</v>
      </c>
      <c r="C436" s="5">
        <v>41489</v>
      </c>
      <c r="D436" s="5">
        <v>41549</v>
      </c>
      <c r="E436" s="4" t="s">
        <v>1381</v>
      </c>
      <c r="F436" s="4" t="s">
        <v>2303</v>
      </c>
    </row>
    <row r="437" spans="1:6" x14ac:dyDescent="0.25">
      <c r="A437" s="4" t="str">
        <f>CONCATENATE("3071-0000-1399","")</f>
        <v>3071-0000-1399</v>
      </c>
      <c r="B437" s="4" t="s">
        <v>2621</v>
      </c>
      <c r="C437" s="5">
        <v>41489</v>
      </c>
      <c r="D437" s="5">
        <v>41549</v>
      </c>
      <c r="E437" s="4" t="s">
        <v>1381</v>
      </c>
      <c r="F437" s="4" t="s">
        <v>2303</v>
      </c>
    </row>
    <row r="438" spans="1:6" x14ac:dyDescent="0.25">
      <c r="A438" s="4" t="str">
        <f>CONCATENATE("3071-0000-5296","")</f>
        <v>3071-0000-5296</v>
      </c>
      <c r="B438" s="4" t="s">
        <v>6781</v>
      </c>
      <c r="C438" s="5">
        <v>41489</v>
      </c>
      <c r="D438" s="5">
        <v>41549</v>
      </c>
      <c r="E438" s="4" t="s">
        <v>5185</v>
      </c>
      <c r="F438" s="4" t="s">
        <v>5185</v>
      </c>
    </row>
    <row r="439" spans="1:6" x14ac:dyDescent="0.25">
      <c r="A439" s="4" t="str">
        <f>CONCATENATE("3071-0000-0555","")</f>
        <v>3071-0000-0555</v>
      </c>
      <c r="B439" s="4" t="s">
        <v>692</v>
      </c>
      <c r="C439" s="5">
        <v>41489</v>
      </c>
      <c r="D439" s="5">
        <v>41549</v>
      </c>
      <c r="E439" s="4" t="s">
        <v>7</v>
      </c>
      <c r="F439" s="4" t="s">
        <v>273</v>
      </c>
    </row>
    <row r="440" spans="1:6" x14ac:dyDescent="0.25">
      <c r="A440" s="4" t="str">
        <f>CONCATENATE("3071-0000-1469","")</f>
        <v>3071-0000-1469</v>
      </c>
      <c r="B440" s="4" t="s">
        <v>2915</v>
      </c>
      <c r="C440" s="5">
        <v>41489</v>
      </c>
      <c r="D440" s="5">
        <v>41549</v>
      </c>
      <c r="E440" s="4" t="s">
        <v>1381</v>
      </c>
      <c r="F440" s="4" t="s">
        <v>2303</v>
      </c>
    </row>
    <row r="441" spans="1:6" x14ac:dyDescent="0.25">
      <c r="A441" s="4" t="str">
        <f>CONCATENATE("3071-0000-1472","")</f>
        <v>3071-0000-1472</v>
      </c>
      <c r="B441" s="4" t="s">
        <v>2920</v>
      </c>
      <c r="C441" s="5">
        <v>41489</v>
      </c>
      <c r="D441" s="5">
        <v>41549</v>
      </c>
      <c r="E441" s="4" t="s">
        <v>1381</v>
      </c>
      <c r="F441" s="4" t="s">
        <v>2303</v>
      </c>
    </row>
    <row r="442" spans="1:6" x14ac:dyDescent="0.25">
      <c r="A442" s="4" t="str">
        <f>CONCATENATE("3071-0000-1638","")</f>
        <v>3071-0000-1638</v>
      </c>
      <c r="B442" s="4" t="s">
        <v>2711</v>
      </c>
      <c r="C442" s="5">
        <v>41489</v>
      </c>
      <c r="D442" s="5">
        <v>41549</v>
      </c>
      <c r="E442" s="4" t="s">
        <v>1381</v>
      </c>
      <c r="F442" s="4" t="s">
        <v>2303</v>
      </c>
    </row>
    <row r="443" spans="1:6" x14ac:dyDescent="0.25">
      <c r="A443" s="4" t="str">
        <f>CONCATENATE("3071-0000-0608","")</f>
        <v>3071-0000-0608</v>
      </c>
      <c r="B443" s="4" t="s">
        <v>588</v>
      </c>
      <c r="C443" s="5">
        <v>41489</v>
      </c>
      <c r="D443" s="5">
        <v>41549</v>
      </c>
      <c r="E443" s="4" t="s">
        <v>7</v>
      </c>
      <c r="F443" s="4" t="s">
        <v>7</v>
      </c>
    </row>
    <row r="444" spans="1:6" x14ac:dyDescent="0.25">
      <c r="A444" s="4" t="str">
        <f>CONCATENATE("3071-0000-8672","")</f>
        <v>3071-0000-8672</v>
      </c>
      <c r="B444" s="4" t="s">
        <v>6389</v>
      </c>
      <c r="C444" s="5">
        <v>41489</v>
      </c>
      <c r="D444" s="5">
        <v>41549</v>
      </c>
      <c r="E444" s="4" t="s">
        <v>5185</v>
      </c>
      <c r="F444" s="4" t="s">
        <v>5292</v>
      </c>
    </row>
    <row r="445" spans="1:6" x14ac:dyDescent="0.25">
      <c r="A445" s="4" t="str">
        <f>CONCATENATE("3071-0000-4250","")</f>
        <v>3071-0000-4250</v>
      </c>
      <c r="B445" s="4" t="s">
        <v>8818</v>
      </c>
      <c r="C445" s="5">
        <v>41489</v>
      </c>
      <c r="D445" s="5">
        <v>41549</v>
      </c>
      <c r="E445" s="4" t="s">
        <v>1410</v>
      </c>
      <c r="F445" s="4" t="s">
        <v>8696</v>
      </c>
    </row>
    <row r="446" spans="1:6" x14ac:dyDescent="0.25">
      <c r="A446" s="4" t="str">
        <f>CONCATENATE("3071-0000-4251","")</f>
        <v>3071-0000-4251</v>
      </c>
      <c r="B446" s="4" t="s">
        <v>8817</v>
      </c>
      <c r="C446" s="5">
        <v>41489</v>
      </c>
      <c r="D446" s="5">
        <v>41549</v>
      </c>
      <c r="E446" s="4" t="s">
        <v>1410</v>
      </c>
      <c r="F446" s="4" t="s">
        <v>8696</v>
      </c>
    </row>
    <row r="447" spans="1:6" x14ac:dyDescent="0.25">
      <c r="A447" s="4" t="str">
        <f>CONCATENATE("3071-0000-5190","")</f>
        <v>3071-0000-5190</v>
      </c>
      <c r="B447" s="4" t="s">
        <v>8700</v>
      </c>
      <c r="C447" s="5">
        <v>41489</v>
      </c>
      <c r="D447" s="5">
        <v>41549</v>
      </c>
      <c r="E447" s="4" t="s">
        <v>1410</v>
      </c>
      <c r="F447" s="4" t="s">
        <v>8696</v>
      </c>
    </row>
    <row r="448" spans="1:6" x14ac:dyDescent="0.25">
      <c r="A448" s="4" t="str">
        <f>CONCATENATE("3071-0000-4336","")</f>
        <v>3071-0000-4336</v>
      </c>
      <c r="B448" s="4" t="s">
        <v>8750</v>
      </c>
      <c r="C448" s="5">
        <v>41489</v>
      </c>
      <c r="D448" s="5">
        <v>41549</v>
      </c>
      <c r="E448" s="4" t="s">
        <v>1410</v>
      </c>
      <c r="F448" s="4" t="s">
        <v>8696</v>
      </c>
    </row>
    <row r="449" spans="1:6" x14ac:dyDescent="0.25">
      <c r="A449" s="4" t="str">
        <f>CONCATENATE("3071-0000-8812","")</f>
        <v>3071-0000-8812</v>
      </c>
      <c r="B449" s="4" t="s">
        <v>6603</v>
      </c>
      <c r="C449" s="5">
        <v>41489</v>
      </c>
      <c r="D449" s="5">
        <v>41549</v>
      </c>
      <c r="E449" s="4" t="s">
        <v>5185</v>
      </c>
      <c r="F449" s="4" t="s">
        <v>5292</v>
      </c>
    </row>
    <row r="450" spans="1:6" x14ac:dyDescent="0.25">
      <c r="A450" s="4" t="str">
        <f>CONCATENATE("3071-0000-5120","")</f>
        <v>3071-0000-5120</v>
      </c>
      <c r="B450" s="4" t="s">
        <v>8950</v>
      </c>
      <c r="C450" s="5">
        <v>41489</v>
      </c>
      <c r="D450" s="5">
        <v>41549</v>
      </c>
      <c r="E450" s="4" t="s">
        <v>1410</v>
      </c>
      <c r="F450" s="4" t="s">
        <v>8903</v>
      </c>
    </row>
    <row r="451" spans="1:6" x14ac:dyDescent="0.25">
      <c r="A451" s="4" t="str">
        <f>CONCATENATE("3071-0000-4888","")</f>
        <v>3071-0000-4888</v>
      </c>
      <c r="B451" s="4" t="s">
        <v>8802</v>
      </c>
      <c r="C451" s="5">
        <v>41489</v>
      </c>
      <c r="D451" s="5">
        <v>41549</v>
      </c>
      <c r="E451" s="4" t="s">
        <v>1410</v>
      </c>
      <c r="F451" s="4" t="s">
        <v>5258</v>
      </c>
    </row>
    <row r="452" spans="1:6" x14ac:dyDescent="0.25">
      <c r="A452" s="4" t="str">
        <f>CONCATENATE("3071-0000-5210","")</f>
        <v>3071-0000-5210</v>
      </c>
      <c r="B452" s="4" t="s">
        <v>8743</v>
      </c>
      <c r="C452" s="5">
        <v>41489</v>
      </c>
      <c r="D452" s="5">
        <v>41549</v>
      </c>
      <c r="E452" s="4" t="s">
        <v>1410</v>
      </c>
      <c r="F452" s="4" t="s">
        <v>8696</v>
      </c>
    </row>
    <row r="453" spans="1:6" x14ac:dyDescent="0.25">
      <c r="A453" s="4" t="str">
        <f>CONCATENATE("3071-0000-4897","")</f>
        <v>3071-0000-4897</v>
      </c>
      <c r="B453" s="4" t="s">
        <v>8719</v>
      </c>
      <c r="C453" s="5">
        <v>41489</v>
      </c>
      <c r="D453" s="5">
        <v>41549</v>
      </c>
      <c r="E453" s="4" t="s">
        <v>1410</v>
      </c>
      <c r="F453" s="4" t="s">
        <v>8696</v>
      </c>
    </row>
    <row r="454" spans="1:6" x14ac:dyDescent="0.25">
      <c r="A454" s="4" t="str">
        <f>CONCATENATE("3071-0000-5194","")</f>
        <v>3071-0000-5194</v>
      </c>
      <c r="B454" s="4" t="s">
        <v>8780</v>
      </c>
      <c r="C454" s="5">
        <v>41489</v>
      </c>
      <c r="D454" s="5">
        <v>41549</v>
      </c>
      <c r="E454" s="4" t="s">
        <v>1410</v>
      </c>
      <c r="F454" s="4" t="s">
        <v>8696</v>
      </c>
    </row>
    <row r="455" spans="1:6" x14ac:dyDescent="0.25">
      <c r="A455" s="4" t="str">
        <f>CONCATENATE("3071-0000-7364","")</f>
        <v>3071-0000-7364</v>
      </c>
      <c r="B455" s="4" t="s">
        <v>4455</v>
      </c>
      <c r="C455" s="5">
        <v>41489</v>
      </c>
      <c r="D455" s="5">
        <v>41549</v>
      </c>
      <c r="E455" s="4" t="s">
        <v>1410</v>
      </c>
      <c r="F455" s="4" t="s">
        <v>1410</v>
      </c>
    </row>
    <row r="456" spans="1:6" x14ac:dyDescent="0.25">
      <c r="A456" s="4" t="str">
        <f>CONCATENATE("3071-0000-4037","")</f>
        <v>3071-0000-4037</v>
      </c>
      <c r="B456" s="4" t="s">
        <v>4215</v>
      </c>
      <c r="C456" s="5">
        <v>41489</v>
      </c>
      <c r="D456" s="5">
        <v>41549</v>
      </c>
      <c r="E456" s="4" t="s">
        <v>7</v>
      </c>
      <c r="F456" s="4" t="s">
        <v>1419</v>
      </c>
    </row>
    <row r="457" spans="1:6" x14ac:dyDescent="0.25">
      <c r="A457" s="4" t="str">
        <f>CONCATENATE("3071-0000-2057","")</f>
        <v>3071-0000-2057</v>
      </c>
      <c r="B457" s="4" t="s">
        <v>3425</v>
      </c>
      <c r="C457" s="5">
        <v>41489</v>
      </c>
      <c r="D457" s="5">
        <v>41549</v>
      </c>
      <c r="E457" s="4" t="s">
        <v>2944</v>
      </c>
      <c r="F457" s="4" t="s">
        <v>2945</v>
      </c>
    </row>
    <row r="458" spans="1:6" x14ac:dyDescent="0.25">
      <c r="A458" s="4" t="str">
        <f>CONCATENATE("3071-0000-1856","")</f>
        <v>3071-0000-1856</v>
      </c>
      <c r="B458" s="4" t="s">
        <v>2433</v>
      </c>
      <c r="C458" s="5">
        <v>41489</v>
      </c>
      <c r="D458" s="5">
        <v>41549</v>
      </c>
      <c r="E458" s="4" t="s">
        <v>1381</v>
      </c>
      <c r="F458" s="4" t="s">
        <v>2303</v>
      </c>
    </row>
    <row r="459" spans="1:6" x14ac:dyDescent="0.25">
      <c r="A459" s="4" t="str">
        <f>CONCATENATE("3071-0000-7129","")</f>
        <v>3071-0000-7129</v>
      </c>
      <c r="B459" s="4" t="s">
        <v>4895</v>
      </c>
      <c r="C459" s="5">
        <v>41489</v>
      </c>
      <c r="D459" s="5">
        <v>41549</v>
      </c>
      <c r="E459" s="4" t="s">
        <v>1410</v>
      </c>
      <c r="F459" s="4" t="s">
        <v>1410</v>
      </c>
    </row>
    <row r="460" spans="1:6" x14ac:dyDescent="0.25">
      <c r="A460" s="4" t="str">
        <f>CONCATENATE("3071-0000-1401","")</f>
        <v>3071-0000-1401</v>
      </c>
      <c r="B460" s="4" t="s">
        <v>2623</v>
      </c>
      <c r="C460" s="5">
        <v>41489</v>
      </c>
      <c r="D460" s="5">
        <v>41549</v>
      </c>
      <c r="E460" s="4" t="s">
        <v>1381</v>
      </c>
      <c r="F460" s="4" t="s">
        <v>2303</v>
      </c>
    </row>
    <row r="461" spans="1:6" x14ac:dyDescent="0.25">
      <c r="A461" s="4" t="str">
        <f>CONCATENATE("3071-0000-3196","")</f>
        <v>3071-0000-3196</v>
      </c>
      <c r="B461" s="4" t="s">
        <v>1356</v>
      </c>
      <c r="C461" s="5">
        <v>41489</v>
      </c>
      <c r="D461" s="5">
        <v>41549</v>
      </c>
      <c r="E461" s="4" t="s">
        <v>7</v>
      </c>
      <c r="F461" s="4" t="s">
        <v>982</v>
      </c>
    </row>
    <row r="462" spans="1:6" x14ac:dyDescent="0.25">
      <c r="A462" s="4" t="str">
        <f>CONCATENATE("3071-0000-0378","")</f>
        <v>3071-0000-0378</v>
      </c>
      <c r="B462" s="4" t="s">
        <v>376</v>
      </c>
      <c r="C462" s="5">
        <v>41489</v>
      </c>
      <c r="D462" s="5">
        <v>41549</v>
      </c>
      <c r="E462" s="4" t="s">
        <v>7</v>
      </c>
      <c r="F462" s="4" t="s">
        <v>273</v>
      </c>
    </row>
    <row r="463" spans="1:6" x14ac:dyDescent="0.25">
      <c r="A463" s="4" t="str">
        <f>CONCATENATE("3071-0000-2510","")</f>
        <v>3071-0000-2510</v>
      </c>
      <c r="B463" s="4" t="s">
        <v>3615</v>
      </c>
      <c r="C463" s="5">
        <v>41489</v>
      </c>
      <c r="D463" s="5">
        <v>41549</v>
      </c>
      <c r="E463" s="4" t="s">
        <v>2944</v>
      </c>
      <c r="F463" s="4" t="s">
        <v>3567</v>
      </c>
    </row>
    <row r="464" spans="1:6" x14ac:dyDescent="0.25">
      <c r="A464" s="4" t="str">
        <f>CONCATENATE("3071-0000-0880","")</f>
        <v>3071-0000-0880</v>
      </c>
      <c r="B464" s="4" t="s">
        <v>2015</v>
      </c>
      <c r="C464" s="5">
        <v>41489</v>
      </c>
      <c r="D464" s="5">
        <v>41549</v>
      </c>
      <c r="E464" s="4" t="s">
        <v>1857</v>
      </c>
      <c r="F464" s="4" t="s">
        <v>1857</v>
      </c>
    </row>
    <row r="465" spans="1:6" x14ac:dyDescent="0.25">
      <c r="A465" s="4" t="str">
        <f>CONCATENATE("3071-0000-9363","")</f>
        <v>3071-0000-9363</v>
      </c>
      <c r="B465" s="4" t="s">
        <v>8683</v>
      </c>
      <c r="C465" s="5">
        <v>41489</v>
      </c>
      <c r="D465" s="5">
        <v>41549</v>
      </c>
      <c r="E465" s="4" t="s">
        <v>1410</v>
      </c>
      <c r="F465" s="4" t="s">
        <v>4459</v>
      </c>
    </row>
    <row r="466" spans="1:6" x14ac:dyDescent="0.25">
      <c r="A466" s="4" t="str">
        <f>CONCATENATE("3071-0000-2556","")</f>
        <v>3071-0000-2556</v>
      </c>
      <c r="B466" s="4" t="s">
        <v>3689</v>
      </c>
      <c r="C466" s="5">
        <v>41489</v>
      </c>
      <c r="D466" s="5">
        <v>41549</v>
      </c>
      <c r="E466" s="4" t="s">
        <v>2944</v>
      </c>
      <c r="F466" s="4" t="s">
        <v>3164</v>
      </c>
    </row>
    <row r="467" spans="1:6" x14ac:dyDescent="0.25">
      <c r="A467" s="4" t="str">
        <f>CONCATENATE("3071-0000-1398","")</f>
        <v>3071-0000-1398</v>
      </c>
      <c r="B467" s="4" t="s">
        <v>2620</v>
      </c>
      <c r="C467" s="5">
        <v>41489</v>
      </c>
      <c r="D467" s="5">
        <v>41549</v>
      </c>
      <c r="E467" s="4" t="s">
        <v>1381</v>
      </c>
      <c r="F467" s="4" t="s">
        <v>2303</v>
      </c>
    </row>
    <row r="468" spans="1:6" x14ac:dyDescent="0.25">
      <c r="A468" s="4" t="str">
        <f>CONCATENATE("3071-0000-2866","")</f>
        <v>3071-0000-2866</v>
      </c>
      <c r="B468" s="4" t="s">
        <v>1379</v>
      </c>
      <c r="C468" s="5">
        <v>41489</v>
      </c>
      <c r="D468" s="5">
        <v>41549</v>
      </c>
      <c r="E468" s="4" t="s">
        <v>7</v>
      </c>
      <c r="F468" s="4" t="s">
        <v>808</v>
      </c>
    </row>
    <row r="469" spans="1:6" x14ac:dyDescent="0.25">
      <c r="A469" s="4" t="str">
        <f>CONCATENATE("3071-0000-2496","")</f>
        <v>3071-0000-2496</v>
      </c>
      <c r="B469" s="4" t="s">
        <v>3632</v>
      </c>
      <c r="C469" s="5">
        <v>41489</v>
      </c>
      <c r="D469" s="5">
        <v>41549</v>
      </c>
      <c r="E469" s="4" t="s">
        <v>2944</v>
      </c>
      <c r="F469" s="4" t="s">
        <v>3567</v>
      </c>
    </row>
    <row r="470" spans="1:6" x14ac:dyDescent="0.25">
      <c r="A470" s="4" t="str">
        <f>CONCATENATE("3071-0000-0814","")</f>
        <v>3071-0000-0814</v>
      </c>
      <c r="B470" s="4" t="s">
        <v>1872</v>
      </c>
      <c r="C470" s="5">
        <v>41489</v>
      </c>
      <c r="D470" s="5">
        <v>41549</v>
      </c>
      <c r="E470" s="4" t="s">
        <v>1857</v>
      </c>
      <c r="F470" s="4" t="s">
        <v>1857</v>
      </c>
    </row>
    <row r="471" spans="1:6" x14ac:dyDescent="0.25">
      <c r="A471" s="4" t="str">
        <f>CONCATENATE("3071-0000-6369","")</f>
        <v>3071-0000-6369</v>
      </c>
      <c r="B471" s="4" t="s">
        <v>7899</v>
      </c>
      <c r="C471" s="5">
        <v>41489</v>
      </c>
      <c r="D471" s="5">
        <v>41549</v>
      </c>
      <c r="E471" s="4" t="s">
        <v>5185</v>
      </c>
      <c r="F471" s="4" t="s">
        <v>5185</v>
      </c>
    </row>
    <row r="472" spans="1:6" x14ac:dyDescent="0.25">
      <c r="A472" s="4" t="str">
        <f>CONCATENATE("3071-0000-2203","")</f>
        <v>3071-0000-2203</v>
      </c>
      <c r="B472" s="4" t="s">
        <v>3173</v>
      </c>
      <c r="C472" s="5">
        <v>41489</v>
      </c>
      <c r="D472" s="5">
        <v>41549</v>
      </c>
      <c r="E472" s="4" t="s">
        <v>2944</v>
      </c>
      <c r="F472" s="4" t="s">
        <v>2945</v>
      </c>
    </row>
    <row r="473" spans="1:6" x14ac:dyDescent="0.25">
      <c r="A473" s="4" t="str">
        <f>CONCATENATE("3071-0000-1421","")</f>
        <v>3071-0000-1421</v>
      </c>
      <c r="B473" s="4" t="s">
        <v>2647</v>
      </c>
      <c r="C473" s="5">
        <v>41489</v>
      </c>
      <c r="D473" s="5">
        <v>41549</v>
      </c>
      <c r="E473" s="4" t="s">
        <v>1381</v>
      </c>
      <c r="F473" s="4" t="s">
        <v>2303</v>
      </c>
    </row>
    <row r="474" spans="1:6" x14ac:dyDescent="0.25">
      <c r="A474" s="4" t="str">
        <f>CONCATENATE("3071-0000-0541","")</f>
        <v>3071-0000-0541</v>
      </c>
      <c r="B474" s="4" t="s">
        <v>24</v>
      </c>
      <c r="C474" s="5">
        <v>41489</v>
      </c>
      <c r="D474" s="5">
        <v>41549</v>
      </c>
      <c r="E474" s="4" t="s">
        <v>7</v>
      </c>
      <c r="F474" s="4" t="s">
        <v>7</v>
      </c>
    </row>
    <row r="475" spans="1:6" x14ac:dyDescent="0.25">
      <c r="A475" s="4" t="str">
        <f>CONCATENATE("3071-0000-1400","")</f>
        <v>3071-0000-1400</v>
      </c>
      <c r="B475" s="4" t="s">
        <v>2622</v>
      </c>
      <c r="C475" s="5">
        <v>41489</v>
      </c>
      <c r="D475" s="5">
        <v>41549</v>
      </c>
      <c r="E475" s="4" t="s">
        <v>1381</v>
      </c>
      <c r="F475" s="4" t="s">
        <v>2303</v>
      </c>
    </row>
    <row r="476" spans="1:6" x14ac:dyDescent="0.25">
      <c r="A476" s="4" t="str">
        <f>CONCATENATE("3071-0000-1417","")</f>
        <v>3071-0000-1417</v>
      </c>
      <c r="B476" s="4" t="s">
        <v>2641</v>
      </c>
      <c r="C476" s="5">
        <v>41489</v>
      </c>
      <c r="D476" s="5">
        <v>41549</v>
      </c>
      <c r="E476" s="4" t="s">
        <v>1381</v>
      </c>
      <c r="F476" s="4" t="s">
        <v>2303</v>
      </c>
    </row>
    <row r="477" spans="1:6" x14ac:dyDescent="0.25">
      <c r="A477" s="4" t="str">
        <f>CONCATENATE("3071-0000-2568","")</f>
        <v>3071-0000-2568</v>
      </c>
      <c r="B477" s="4" t="s">
        <v>3253</v>
      </c>
      <c r="C477" s="5">
        <v>41489</v>
      </c>
      <c r="D477" s="5">
        <v>41549</v>
      </c>
      <c r="E477" s="4" t="s">
        <v>2944</v>
      </c>
      <c r="F477" s="4" t="s">
        <v>3164</v>
      </c>
    </row>
    <row r="478" spans="1:6" x14ac:dyDescent="0.25">
      <c r="A478" s="4" t="str">
        <f>CONCATENATE("3071-0000-2555","")</f>
        <v>3071-0000-2555</v>
      </c>
      <c r="B478" s="4" t="s">
        <v>3688</v>
      </c>
      <c r="C478" s="5">
        <v>41489</v>
      </c>
      <c r="D478" s="5">
        <v>41549</v>
      </c>
      <c r="E478" s="4" t="s">
        <v>2944</v>
      </c>
      <c r="F478" s="4" t="s">
        <v>3164</v>
      </c>
    </row>
    <row r="479" spans="1:6" x14ac:dyDescent="0.25">
      <c r="A479" s="4" t="str">
        <f>CONCATENATE("3071-0000-9446","")</f>
        <v>3071-0000-9446</v>
      </c>
      <c r="B479" s="4" t="s">
        <v>8509</v>
      </c>
      <c r="C479" s="5">
        <v>41489</v>
      </c>
      <c r="D479" s="5">
        <v>41549</v>
      </c>
      <c r="E479" s="4" t="s">
        <v>1410</v>
      </c>
      <c r="F479" s="4" t="s">
        <v>4459</v>
      </c>
    </row>
    <row r="480" spans="1:6" x14ac:dyDescent="0.25">
      <c r="A480" s="4" t="str">
        <f>CONCATENATE("3071-0000-1275","")</f>
        <v>3071-0000-1275</v>
      </c>
      <c r="B480" s="4" t="s">
        <v>2380</v>
      </c>
      <c r="C480" s="5">
        <v>41489</v>
      </c>
      <c r="D480" s="5">
        <v>41549</v>
      </c>
      <c r="E480" s="4" t="s">
        <v>1381</v>
      </c>
      <c r="F480" s="4" t="s">
        <v>2303</v>
      </c>
    </row>
    <row r="481" spans="1:6" x14ac:dyDescent="0.25">
      <c r="A481" s="4" t="str">
        <f>CONCATENATE("3071-0000-9390","")</f>
        <v>3071-0000-9390</v>
      </c>
      <c r="B481" s="4" t="s">
        <v>8694</v>
      </c>
      <c r="C481" s="5">
        <v>41489</v>
      </c>
      <c r="D481" s="5">
        <v>41549</v>
      </c>
      <c r="E481" s="4" t="s">
        <v>1410</v>
      </c>
      <c r="F481" s="4" t="s">
        <v>4459</v>
      </c>
    </row>
    <row r="482" spans="1:6" x14ac:dyDescent="0.25">
      <c r="A482" s="4" t="str">
        <f>CONCATENATE("3071-0000-2174","")</f>
        <v>3071-0000-2174</v>
      </c>
      <c r="B482" s="4" t="s">
        <v>3651</v>
      </c>
      <c r="C482" s="5">
        <v>41489</v>
      </c>
      <c r="D482" s="5">
        <v>41549</v>
      </c>
      <c r="E482" s="4" t="s">
        <v>2944</v>
      </c>
      <c r="F482" s="4" t="s">
        <v>2945</v>
      </c>
    </row>
    <row r="483" spans="1:6" x14ac:dyDescent="0.25">
      <c r="A483" s="4" t="str">
        <f>CONCATENATE("3071-0000-0286","")</f>
        <v>3071-0000-0286</v>
      </c>
      <c r="B483" s="4" t="s">
        <v>298</v>
      </c>
      <c r="C483" s="5">
        <v>41489</v>
      </c>
      <c r="D483" s="5">
        <v>41549</v>
      </c>
      <c r="E483" s="4" t="s">
        <v>7</v>
      </c>
      <c r="F483" s="4" t="s">
        <v>7</v>
      </c>
    </row>
    <row r="484" spans="1:6" x14ac:dyDescent="0.25">
      <c r="A484" s="4" t="str">
        <f>CONCATENATE("3071-0000-9010","")</f>
        <v>3071-0000-9010</v>
      </c>
      <c r="B484" s="4" t="s">
        <v>6562</v>
      </c>
      <c r="C484" s="5">
        <v>41489</v>
      </c>
      <c r="D484" s="5">
        <v>41549</v>
      </c>
      <c r="E484" s="4" t="s">
        <v>5185</v>
      </c>
      <c r="F484" s="4" t="s">
        <v>5292</v>
      </c>
    </row>
    <row r="485" spans="1:6" x14ac:dyDescent="0.25">
      <c r="A485" s="4" t="str">
        <f>CONCATENATE("3071-0000-1274","")</f>
        <v>3071-0000-1274</v>
      </c>
      <c r="B485" s="4" t="s">
        <v>2378</v>
      </c>
      <c r="C485" s="5">
        <v>41489</v>
      </c>
      <c r="D485" s="5">
        <v>41549</v>
      </c>
      <c r="E485" s="4" t="s">
        <v>1381</v>
      </c>
      <c r="F485" s="4" t="s">
        <v>2303</v>
      </c>
    </row>
    <row r="486" spans="1:6" x14ac:dyDescent="0.25">
      <c r="A486" s="4" t="str">
        <f>CONCATENATE("3071-0000-5201","")</f>
        <v>3071-0000-5201</v>
      </c>
      <c r="B486" s="4" t="s">
        <v>8739</v>
      </c>
      <c r="C486" s="5">
        <v>41489</v>
      </c>
      <c r="D486" s="5">
        <v>41549</v>
      </c>
      <c r="E486" s="4" t="s">
        <v>1410</v>
      </c>
      <c r="F486" s="4" t="s">
        <v>8696</v>
      </c>
    </row>
    <row r="487" spans="1:6" x14ac:dyDescent="0.25">
      <c r="A487" s="4" t="str">
        <f>CONCATENATE("3071-0000-8750","")</f>
        <v>3071-0000-8750</v>
      </c>
      <c r="B487" s="4" t="s">
        <v>6412</v>
      </c>
      <c r="C487" s="5">
        <v>41489</v>
      </c>
      <c r="D487" s="5">
        <v>41549</v>
      </c>
      <c r="E487" s="4" t="s">
        <v>5185</v>
      </c>
      <c r="F487" s="4" t="s">
        <v>5292</v>
      </c>
    </row>
    <row r="488" spans="1:6" x14ac:dyDescent="0.25">
      <c r="A488" s="4" t="str">
        <f>CONCATENATE("3071-0000-8680","")</f>
        <v>3071-0000-8680</v>
      </c>
      <c r="B488" s="4" t="s">
        <v>6383</v>
      </c>
      <c r="C488" s="5">
        <v>41489</v>
      </c>
      <c r="D488" s="5">
        <v>41549</v>
      </c>
      <c r="E488" s="4" t="s">
        <v>5185</v>
      </c>
      <c r="F488" s="4" t="s">
        <v>5945</v>
      </c>
    </row>
    <row r="489" spans="1:6" x14ac:dyDescent="0.25">
      <c r="A489" s="4" t="str">
        <f>CONCATENATE("3071-0000-2051","")</f>
        <v>3071-0000-2051</v>
      </c>
      <c r="B489" s="4" t="s">
        <v>3335</v>
      </c>
      <c r="C489" s="5">
        <v>41489</v>
      </c>
      <c r="D489" s="5">
        <v>41549</v>
      </c>
      <c r="E489" s="4" t="s">
        <v>2944</v>
      </c>
      <c r="F489" s="4" t="s">
        <v>2945</v>
      </c>
    </row>
    <row r="490" spans="1:6" x14ac:dyDescent="0.25">
      <c r="A490" s="4" t="str">
        <f>CONCATENATE("3071-0000-2659","")</f>
        <v>3071-0000-2659</v>
      </c>
      <c r="B490" s="4" t="s">
        <v>3388</v>
      </c>
      <c r="C490" s="5">
        <v>41489</v>
      </c>
      <c r="D490" s="5">
        <v>41549</v>
      </c>
      <c r="E490" s="4" t="s">
        <v>1857</v>
      </c>
      <c r="F490" s="4" t="s">
        <v>3306</v>
      </c>
    </row>
    <row r="491" spans="1:6" x14ac:dyDescent="0.25">
      <c r="A491" s="4" t="str">
        <f>CONCATENATE("3071-0000-8838","")</f>
        <v>3071-0000-8838</v>
      </c>
      <c r="B491" s="4" t="s">
        <v>6610</v>
      </c>
      <c r="C491" s="5">
        <v>41489</v>
      </c>
      <c r="D491" s="5">
        <v>41549</v>
      </c>
      <c r="E491" s="4" t="s">
        <v>5185</v>
      </c>
      <c r="F491" s="4" t="s">
        <v>5292</v>
      </c>
    </row>
    <row r="492" spans="1:6" x14ac:dyDescent="0.25">
      <c r="A492" s="4" t="str">
        <f>CONCATENATE("3071-0000-5388","")</f>
        <v>3071-0000-5388</v>
      </c>
      <c r="B492" s="4" t="s">
        <v>6838</v>
      </c>
      <c r="C492" s="5">
        <v>41489</v>
      </c>
      <c r="D492" s="5">
        <v>41549</v>
      </c>
      <c r="E492" s="4" t="s">
        <v>5185</v>
      </c>
      <c r="F492" s="4" t="s">
        <v>5185</v>
      </c>
    </row>
    <row r="493" spans="1:6" x14ac:dyDescent="0.25">
      <c r="A493" s="4" t="str">
        <f>CONCATENATE("3071-0000-7226","")</f>
        <v>3071-0000-7226</v>
      </c>
      <c r="B493" s="4" t="s">
        <v>4981</v>
      </c>
      <c r="C493" s="5">
        <v>41489</v>
      </c>
      <c r="D493" s="5">
        <v>41549</v>
      </c>
      <c r="E493" s="4" t="s">
        <v>1410</v>
      </c>
      <c r="F493" s="4" t="s">
        <v>1410</v>
      </c>
    </row>
    <row r="494" spans="1:6" x14ac:dyDescent="0.25">
      <c r="A494" s="4" t="str">
        <f>CONCATENATE("3071-0000-3984","")</f>
        <v>3071-0000-3984</v>
      </c>
      <c r="B494" s="4" t="s">
        <v>4090</v>
      </c>
      <c r="C494" s="5">
        <v>41489</v>
      </c>
      <c r="D494" s="5">
        <v>41549</v>
      </c>
      <c r="E494" s="4" t="s">
        <v>2944</v>
      </c>
      <c r="F494" s="4" t="s">
        <v>3513</v>
      </c>
    </row>
    <row r="495" spans="1:6" x14ac:dyDescent="0.25">
      <c r="A495" s="4" t="str">
        <f>CONCATENATE("3071-0000-4215","")</f>
        <v>3071-0000-4215</v>
      </c>
      <c r="B495" s="4" t="s">
        <v>4099</v>
      </c>
      <c r="C495" s="5">
        <v>41489</v>
      </c>
      <c r="D495" s="5">
        <v>41549</v>
      </c>
      <c r="E495" s="4" t="s">
        <v>1381</v>
      </c>
      <c r="F495" s="4" t="s">
        <v>3698</v>
      </c>
    </row>
    <row r="496" spans="1:6" x14ac:dyDescent="0.25">
      <c r="A496" s="4" t="str">
        <f>CONCATENATE("3071-0000-5350","")</f>
        <v>3071-0000-5350</v>
      </c>
      <c r="B496" s="4" t="s">
        <v>6851</v>
      </c>
      <c r="C496" s="5">
        <v>41489</v>
      </c>
      <c r="D496" s="5">
        <v>41549</v>
      </c>
      <c r="E496" s="4" t="s">
        <v>5185</v>
      </c>
      <c r="F496" s="4" t="s">
        <v>5185</v>
      </c>
    </row>
    <row r="497" spans="1:6" x14ac:dyDescent="0.25">
      <c r="A497" s="4" t="str">
        <f>CONCATENATE("3071-0000-7223","")</f>
        <v>3071-0000-7223</v>
      </c>
      <c r="B497" s="4" t="s">
        <v>5011</v>
      </c>
      <c r="C497" s="5">
        <v>41489</v>
      </c>
      <c r="D497" s="5">
        <v>41549</v>
      </c>
      <c r="E497" s="4" t="s">
        <v>1410</v>
      </c>
      <c r="F497" s="4" t="s">
        <v>1410</v>
      </c>
    </row>
    <row r="498" spans="1:6" x14ac:dyDescent="0.25">
      <c r="A498" s="4" t="str">
        <f>CONCATENATE("3071-0000-5407","")</f>
        <v>3071-0000-5407</v>
      </c>
      <c r="B498" s="4" t="s">
        <v>6615</v>
      </c>
      <c r="C498" s="5">
        <v>41489</v>
      </c>
      <c r="D498" s="5">
        <v>41549</v>
      </c>
      <c r="E498" s="4" t="s">
        <v>5185</v>
      </c>
      <c r="F498" s="4" t="s">
        <v>5185</v>
      </c>
    </row>
    <row r="499" spans="1:6" x14ac:dyDescent="0.25">
      <c r="A499" s="4" t="str">
        <f>CONCATENATE("3071-0000-5573","")</f>
        <v>3071-0000-5573</v>
      </c>
      <c r="B499" s="4" t="s">
        <v>6945</v>
      </c>
      <c r="C499" s="5">
        <v>41489</v>
      </c>
      <c r="D499" s="5">
        <v>41549</v>
      </c>
      <c r="E499" s="4" t="s">
        <v>5185</v>
      </c>
      <c r="F499" s="4" t="s">
        <v>5185</v>
      </c>
    </row>
    <row r="500" spans="1:6" x14ac:dyDescent="0.25">
      <c r="A500" s="4" t="str">
        <f>CONCATENATE("3071-0000-5479","")</f>
        <v>3071-0000-5479</v>
      </c>
      <c r="B500" s="4" t="s">
        <v>6695</v>
      </c>
      <c r="C500" s="5">
        <v>41489</v>
      </c>
      <c r="D500" s="5">
        <v>41549</v>
      </c>
      <c r="E500" s="4" t="s">
        <v>1410</v>
      </c>
      <c r="F500" s="4" t="s">
        <v>6635</v>
      </c>
    </row>
    <row r="501" spans="1:6" x14ac:dyDescent="0.25">
      <c r="A501" s="4" t="str">
        <f>CONCATENATE("3071-0000-3971","")</f>
        <v>3071-0000-3971</v>
      </c>
      <c r="B501" s="4" t="s">
        <v>4195</v>
      </c>
      <c r="C501" s="5">
        <v>41489</v>
      </c>
      <c r="D501" s="5">
        <v>41549</v>
      </c>
      <c r="E501" s="4" t="s">
        <v>2944</v>
      </c>
      <c r="F501" s="4" t="s">
        <v>3513</v>
      </c>
    </row>
    <row r="502" spans="1:6" x14ac:dyDescent="0.25">
      <c r="A502" s="4" t="str">
        <f>CONCATENATE("3071-0000-6231","")</f>
        <v>3071-0000-6231</v>
      </c>
      <c r="B502" s="4" t="s">
        <v>6949</v>
      </c>
      <c r="C502" s="5">
        <v>41489</v>
      </c>
      <c r="D502" s="5">
        <v>41549</v>
      </c>
      <c r="E502" s="4" t="s">
        <v>1410</v>
      </c>
      <c r="F502" s="4" t="s">
        <v>4616</v>
      </c>
    </row>
    <row r="503" spans="1:6" x14ac:dyDescent="0.25">
      <c r="A503" s="4" t="str">
        <f>CONCATENATE("3071-0000-3381","")</f>
        <v>3071-0000-3381</v>
      </c>
      <c r="B503" s="4" t="s">
        <v>1523</v>
      </c>
      <c r="C503" s="5">
        <v>41489</v>
      </c>
      <c r="D503" s="5">
        <v>41549</v>
      </c>
      <c r="E503" s="4" t="s">
        <v>1410</v>
      </c>
      <c r="F503" s="4" t="s">
        <v>1411</v>
      </c>
    </row>
    <row r="504" spans="1:6" x14ac:dyDescent="0.25">
      <c r="A504" s="4" t="str">
        <f>CONCATENATE("3071-0000-8149","")</f>
        <v>3071-0000-8149</v>
      </c>
      <c r="B504" s="4" t="s">
        <v>5400</v>
      </c>
      <c r="C504" s="5">
        <v>41489</v>
      </c>
      <c r="D504" s="5">
        <v>41549</v>
      </c>
      <c r="E504" s="4" t="s">
        <v>5185</v>
      </c>
      <c r="F504" s="4" t="s">
        <v>5185</v>
      </c>
    </row>
    <row r="505" spans="1:6" x14ac:dyDescent="0.25">
      <c r="A505" s="4" t="str">
        <f>CONCATENATE("3071-0000-6889","")</f>
        <v>3071-0000-6889</v>
      </c>
      <c r="B505" s="4" t="s">
        <v>4622</v>
      </c>
      <c r="C505" s="5">
        <v>41489</v>
      </c>
      <c r="D505" s="5">
        <v>41549</v>
      </c>
      <c r="E505" s="4" t="s">
        <v>1410</v>
      </c>
      <c r="F505" s="4" t="s">
        <v>1410</v>
      </c>
    </row>
    <row r="506" spans="1:6" x14ac:dyDescent="0.25">
      <c r="A506" s="4" t="str">
        <f>CONCATENATE("3071-0000-2649","")</f>
        <v>3071-0000-2649</v>
      </c>
      <c r="B506" s="4" t="s">
        <v>3414</v>
      </c>
      <c r="C506" s="5">
        <v>41489</v>
      </c>
      <c r="D506" s="5">
        <v>41549</v>
      </c>
      <c r="E506" s="4" t="s">
        <v>1857</v>
      </c>
      <c r="F506" s="4" t="s">
        <v>3306</v>
      </c>
    </row>
    <row r="507" spans="1:6" x14ac:dyDescent="0.25">
      <c r="A507" s="4" t="str">
        <f>CONCATENATE("3071-0000-4198","")</f>
        <v>3071-0000-4198</v>
      </c>
      <c r="B507" s="4" t="s">
        <v>4028</v>
      </c>
      <c r="C507" s="5">
        <v>41489</v>
      </c>
      <c r="D507" s="5">
        <v>41549</v>
      </c>
      <c r="E507" s="4" t="s">
        <v>1381</v>
      </c>
      <c r="F507" s="4" t="s">
        <v>3994</v>
      </c>
    </row>
    <row r="508" spans="1:6" x14ac:dyDescent="0.25">
      <c r="A508" s="4" t="str">
        <f>CONCATENATE("3071-0000-6110","")</f>
        <v>3071-0000-6110</v>
      </c>
      <c r="B508" s="4" t="s">
        <v>7712</v>
      </c>
      <c r="C508" s="5">
        <v>41489</v>
      </c>
      <c r="D508" s="5">
        <v>41549</v>
      </c>
      <c r="E508" s="4" t="s">
        <v>1410</v>
      </c>
      <c r="F508" s="4" t="s">
        <v>1410</v>
      </c>
    </row>
    <row r="509" spans="1:6" x14ac:dyDescent="0.25">
      <c r="A509" s="4" t="str">
        <f>CONCATENATE("3071-0000-6905","")</f>
        <v>3071-0000-6905</v>
      </c>
      <c r="B509" s="4" t="s">
        <v>4274</v>
      </c>
      <c r="C509" s="5">
        <v>41489</v>
      </c>
      <c r="D509" s="5">
        <v>41549</v>
      </c>
      <c r="E509" s="4" t="s">
        <v>1410</v>
      </c>
      <c r="F509" s="4" t="s">
        <v>1410</v>
      </c>
    </row>
    <row r="510" spans="1:6" x14ac:dyDescent="0.25">
      <c r="A510" s="4" t="str">
        <f>CONCATENATE("3071-0000-7414","")</f>
        <v>3071-0000-7414</v>
      </c>
      <c r="B510" s="4" t="s">
        <v>4341</v>
      </c>
      <c r="C510" s="5">
        <v>41489</v>
      </c>
      <c r="D510" s="5">
        <v>41549</v>
      </c>
      <c r="E510" s="4" t="s">
        <v>1410</v>
      </c>
      <c r="F510" s="4" t="s">
        <v>1410</v>
      </c>
    </row>
    <row r="511" spans="1:6" x14ac:dyDescent="0.25">
      <c r="A511" s="4" t="str">
        <f>CONCATENATE("3071-0000-6819","")</f>
        <v>3071-0000-6819</v>
      </c>
      <c r="B511" s="4" t="s">
        <v>7885</v>
      </c>
      <c r="C511" s="5">
        <v>41489</v>
      </c>
      <c r="D511" s="5">
        <v>41549</v>
      </c>
      <c r="E511" s="4" t="s">
        <v>1410</v>
      </c>
      <c r="F511" s="4" t="s">
        <v>4655</v>
      </c>
    </row>
    <row r="512" spans="1:6" x14ac:dyDescent="0.25">
      <c r="A512" s="4" t="str">
        <f>CONCATENATE("3071-0000-7244","")</f>
        <v>3071-0000-7244</v>
      </c>
      <c r="B512" s="4" t="s">
        <v>4930</v>
      </c>
      <c r="C512" s="5">
        <v>41489</v>
      </c>
      <c r="D512" s="5">
        <v>41549</v>
      </c>
      <c r="E512" s="4" t="s">
        <v>1410</v>
      </c>
      <c r="F512" s="4" t="s">
        <v>1410</v>
      </c>
    </row>
    <row r="513" spans="1:6" x14ac:dyDescent="0.25">
      <c r="A513" s="4" t="str">
        <f>CONCATENATE("3071-0000-4561","")</f>
        <v>3071-0000-4561</v>
      </c>
      <c r="B513" s="4" t="s">
        <v>9089</v>
      </c>
      <c r="C513" s="5">
        <v>41489</v>
      </c>
      <c r="D513" s="5">
        <v>41549</v>
      </c>
      <c r="E513" s="4" t="s">
        <v>1410</v>
      </c>
      <c r="F513" s="4" t="s">
        <v>8696</v>
      </c>
    </row>
    <row r="514" spans="1:6" x14ac:dyDescent="0.25">
      <c r="A514" s="4" t="str">
        <f>CONCATENATE("3071-0000-0893","")</f>
        <v>3071-0000-0893</v>
      </c>
      <c r="B514" s="4" t="s">
        <v>2041</v>
      </c>
      <c r="C514" s="5">
        <v>41489</v>
      </c>
      <c r="D514" s="5">
        <v>41549</v>
      </c>
      <c r="E514" s="4" t="s">
        <v>1857</v>
      </c>
      <c r="F514" s="4" t="s">
        <v>1857</v>
      </c>
    </row>
    <row r="515" spans="1:6" x14ac:dyDescent="0.25">
      <c r="A515" s="4" t="str">
        <f>CONCATENATE("3071-0000-1159","")</f>
        <v>3071-0000-1159</v>
      </c>
      <c r="B515" s="4" t="s">
        <v>2049</v>
      </c>
      <c r="C515" s="5">
        <v>41489</v>
      </c>
      <c r="D515" s="5">
        <v>41549</v>
      </c>
      <c r="E515" s="4" t="s">
        <v>1857</v>
      </c>
      <c r="F515" s="4" t="s">
        <v>1857</v>
      </c>
    </row>
    <row r="516" spans="1:6" x14ac:dyDescent="0.25">
      <c r="A516" s="4" t="str">
        <f>CONCATENATE("3071-0000-3279","")</f>
        <v>3071-0000-3279</v>
      </c>
      <c r="B516" s="4" t="s">
        <v>1000</v>
      </c>
      <c r="C516" s="5">
        <v>41489</v>
      </c>
      <c r="D516" s="5">
        <v>41549</v>
      </c>
      <c r="E516" s="4" t="s">
        <v>7</v>
      </c>
      <c r="F516" s="4" t="s">
        <v>808</v>
      </c>
    </row>
    <row r="517" spans="1:6" x14ac:dyDescent="0.25">
      <c r="A517" s="4" t="str">
        <f>CONCATENATE("3071-0000-6292","")</f>
        <v>3071-0000-6292</v>
      </c>
      <c r="B517" s="4" t="s">
        <v>7104</v>
      </c>
      <c r="C517" s="5">
        <v>41489</v>
      </c>
      <c r="D517" s="5">
        <v>41549</v>
      </c>
      <c r="E517" s="4" t="s">
        <v>7069</v>
      </c>
      <c r="F517" s="4" t="s">
        <v>7070</v>
      </c>
    </row>
    <row r="518" spans="1:6" x14ac:dyDescent="0.25">
      <c r="A518" s="4" t="str">
        <f>CONCATENATE("3071-0000-5030","")</f>
        <v>3071-0000-5030</v>
      </c>
      <c r="B518" s="4" t="s">
        <v>8822</v>
      </c>
      <c r="C518" s="5">
        <v>41489</v>
      </c>
      <c r="D518" s="5">
        <v>41549</v>
      </c>
      <c r="E518" s="4" t="s">
        <v>1410</v>
      </c>
      <c r="F518" s="4" t="s">
        <v>5258</v>
      </c>
    </row>
    <row r="519" spans="1:6" x14ac:dyDescent="0.25">
      <c r="A519" s="4" t="str">
        <f>CONCATENATE("3071-0000-4848","")</f>
        <v>3071-0000-4848</v>
      </c>
      <c r="B519" s="4" t="s">
        <v>8836</v>
      </c>
      <c r="C519" s="5">
        <v>41489</v>
      </c>
      <c r="D519" s="5">
        <v>41549</v>
      </c>
      <c r="E519" s="4" t="s">
        <v>1410</v>
      </c>
      <c r="F519" s="4" t="s">
        <v>8696</v>
      </c>
    </row>
    <row r="520" spans="1:6" x14ac:dyDescent="0.25">
      <c r="A520" s="4" t="str">
        <f>CONCATENATE("3071-0000-5102","")</f>
        <v>3071-0000-5102</v>
      </c>
      <c r="B520" s="4" t="s">
        <v>8806</v>
      </c>
      <c r="C520" s="5">
        <v>41489</v>
      </c>
      <c r="D520" s="5">
        <v>41549</v>
      </c>
      <c r="E520" s="4" t="s">
        <v>1410</v>
      </c>
      <c r="F520" s="4" t="s">
        <v>5258</v>
      </c>
    </row>
    <row r="521" spans="1:6" x14ac:dyDescent="0.25">
      <c r="A521" s="4" t="str">
        <f>CONCATENATE("3071-0000-7549","")</f>
        <v>3071-0000-7549</v>
      </c>
      <c r="B521" s="4" t="s">
        <v>4454</v>
      </c>
      <c r="C521" s="5">
        <v>41489</v>
      </c>
      <c r="D521" s="5">
        <v>41549</v>
      </c>
      <c r="E521" s="4" t="s">
        <v>1410</v>
      </c>
      <c r="F521" s="4" t="s">
        <v>1410</v>
      </c>
    </row>
    <row r="522" spans="1:6" x14ac:dyDescent="0.25">
      <c r="A522" s="4" t="str">
        <f>CONCATENATE("3071-0000-4886","")</f>
        <v>3071-0000-4886</v>
      </c>
      <c r="B522" s="4" t="s">
        <v>8801</v>
      </c>
      <c r="C522" s="5">
        <v>41489</v>
      </c>
      <c r="D522" s="5">
        <v>41549</v>
      </c>
      <c r="E522" s="4" t="s">
        <v>1410</v>
      </c>
      <c r="F522" s="4" t="s">
        <v>5258</v>
      </c>
    </row>
    <row r="523" spans="1:6" x14ac:dyDescent="0.25">
      <c r="A523" s="4" t="str">
        <f>CONCATENATE("3071-0000-6277","")</f>
        <v>3071-0000-6277</v>
      </c>
      <c r="B523" s="4" t="s">
        <v>7078</v>
      </c>
      <c r="C523" s="5">
        <v>41489</v>
      </c>
      <c r="D523" s="5">
        <v>41549</v>
      </c>
      <c r="E523" s="4" t="s">
        <v>7069</v>
      </c>
      <c r="F523" s="4" t="s">
        <v>7070</v>
      </c>
    </row>
    <row r="524" spans="1:6" x14ac:dyDescent="0.25">
      <c r="A524" s="4" t="str">
        <f>CONCATENATE("3071-0000-4876","")</f>
        <v>3071-0000-4876</v>
      </c>
      <c r="B524" s="4" t="s">
        <v>8803</v>
      </c>
      <c r="C524" s="5">
        <v>41489</v>
      </c>
      <c r="D524" s="5">
        <v>41549</v>
      </c>
      <c r="E524" s="4" t="s">
        <v>1410</v>
      </c>
      <c r="F524" s="4" t="s">
        <v>5258</v>
      </c>
    </row>
    <row r="525" spans="1:6" x14ac:dyDescent="0.25">
      <c r="A525" s="4" t="str">
        <f>CONCATENATE("3071-0000-4883","")</f>
        <v>3071-0000-4883</v>
      </c>
      <c r="B525" s="4" t="s">
        <v>8809</v>
      </c>
      <c r="C525" s="5">
        <v>41489</v>
      </c>
      <c r="D525" s="5">
        <v>41549</v>
      </c>
      <c r="E525" s="4" t="s">
        <v>1410</v>
      </c>
      <c r="F525" s="4" t="s">
        <v>5258</v>
      </c>
    </row>
    <row r="526" spans="1:6" x14ac:dyDescent="0.25">
      <c r="A526" s="4" t="str">
        <f>CONCATENATE("3071-0000-4639","")</f>
        <v>3071-0000-4639</v>
      </c>
      <c r="B526" s="4" t="s">
        <v>9420</v>
      </c>
      <c r="C526" s="5">
        <v>41489</v>
      </c>
      <c r="D526" s="5">
        <v>41549</v>
      </c>
      <c r="E526" s="4" t="s">
        <v>1410</v>
      </c>
      <c r="F526" s="4" t="s">
        <v>8696</v>
      </c>
    </row>
    <row r="527" spans="1:6" x14ac:dyDescent="0.25">
      <c r="A527" s="4" t="str">
        <f>CONCATENATE("3071-0000-4935","")</f>
        <v>3071-0000-4935</v>
      </c>
      <c r="B527" s="4" t="s">
        <v>9214</v>
      </c>
      <c r="C527" s="5">
        <v>41489</v>
      </c>
      <c r="D527" s="5">
        <v>41549</v>
      </c>
      <c r="E527" s="4" t="s">
        <v>7069</v>
      </c>
      <c r="F527" s="4" t="s">
        <v>9210</v>
      </c>
    </row>
    <row r="528" spans="1:6" x14ac:dyDescent="0.25">
      <c r="A528" s="4" t="str">
        <f>CONCATENATE("3071-0000-0183","")</f>
        <v>3071-0000-0183</v>
      </c>
      <c r="B528" s="4" t="s">
        <v>382</v>
      </c>
      <c r="C528" s="5">
        <v>41489</v>
      </c>
      <c r="D528" s="5">
        <v>41549</v>
      </c>
      <c r="E528" s="4" t="s">
        <v>7</v>
      </c>
      <c r="F528" s="4" t="s">
        <v>7</v>
      </c>
    </row>
    <row r="529" spans="1:6" x14ac:dyDescent="0.25">
      <c r="A529" s="4" t="str">
        <f>CONCATENATE("3071-0000-5665","")</f>
        <v>3071-0000-5665</v>
      </c>
      <c r="B529" s="4" t="s">
        <v>7168</v>
      </c>
      <c r="C529" s="5">
        <v>41489</v>
      </c>
      <c r="D529" s="5">
        <v>41549</v>
      </c>
      <c r="E529" s="4" t="s">
        <v>5185</v>
      </c>
      <c r="F529" s="4" t="s">
        <v>5185</v>
      </c>
    </row>
    <row r="530" spans="1:6" x14ac:dyDescent="0.25">
      <c r="A530" s="4" t="str">
        <f>CONCATENATE("3071-0000-5090","")</f>
        <v>3071-0000-5090</v>
      </c>
      <c r="B530" s="4" t="s">
        <v>9216</v>
      </c>
      <c r="C530" s="5">
        <v>41489</v>
      </c>
      <c r="D530" s="5">
        <v>41549</v>
      </c>
      <c r="E530" s="4" t="s">
        <v>7069</v>
      </c>
      <c r="F530" s="4" t="s">
        <v>9210</v>
      </c>
    </row>
    <row r="531" spans="1:6" x14ac:dyDescent="0.25">
      <c r="A531" s="4" t="str">
        <f>CONCATENATE("3071-0000-9465","")</f>
        <v>3071-0000-9465</v>
      </c>
      <c r="B531" s="4" t="s">
        <v>8529</v>
      </c>
      <c r="C531" s="5">
        <v>41489</v>
      </c>
      <c r="D531" s="5">
        <v>41549</v>
      </c>
      <c r="E531" s="4" t="s">
        <v>1410</v>
      </c>
      <c r="F531" s="4" t="s">
        <v>4459</v>
      </c>
    </row>
    <row r="532" spans="1:6" x14ac:dyDescent="0.25">
      <c r="A532" s="4" t="str">
        <f>CONCATENATE("3071-0000-4480","")</f>
        <v>3071-0000-4480</v>
      </c>
      <c r="B532" s="4" t="s">
        <v>9371</v>
      </c>
      <c r="C532" s="5">
        <v>41489</v>
      </c>
      <c r="D532" s="5">
        <v>41549</v>
      </c>
      <c r="E532" s="4" t="s">
        <v>1410</v>
      </c>
      <c r="F532" s="4" t="s">
        <v>8696</v>
      </c>
    </row>
    <row r="533" spans="1:6" x14ac:dyDescent="0.25">
      <c r="A533" s="4" t="str">
        <f>CONCATENATE("3071-0000-6051","")</f>
        <v>3071-0000-6051</v>
      </c>
      <c r="B533" s="4" t="s">
        <v>7600</v>
      </c>
      <c r="C533" s="5">
        <v>41489</v>
      </c>
      <c r="D533" s="5">
        <v>41549</v>
      </c>
      <c r="E533" s="4" t="s">
        <v>1410</v>
      </c>
      <c r="F533" s="4" t="s">
        <v>7309</v>
      </c>
    </row>
    <row r="534" spans="1:6" x14ac:dyDescent="0.25">
      <c r="A534" s="4" t="str">
        <f>CONCATENATE("3071-0000-6040","")</f>
        <v>3071-0000-6040</v>
      </c>
      <c r="B534" s="4" t="s">
        <v>7608</v>
      </c>
      <c r="C534" s="5">
        <v>41489</v>
      </c>
      <c r="D534" s="5">
        <v>41549</v>
      </c>
      <c r="E534" s="4" t="s">
        <v>1410</v>
      </c>
      <c r="F534" s="4" t="s">
        <v>1410</v>
      </c>
    </row>
    <row r="535" spans="1:6" x14ac:dyDescent="0.25">
      <c r="A535" s="4" t="str">
        <f>CONCATENATE("3071-0000-6965","")</f>
        <v>3071-0000-6965</v>
      </c>
      <c r="B535" s="4" t="s">
        <v>4444</v>
      </c>
      <c r="C535" s="5">
        <v>41489</v>
      </c>
      <c r="D535" s="5">
        <v>41549</v>
      </c>
      <c r="E535" s="4" t="s">
        <v>1410</v>
      </c>
      <c r="F535" s="4" t="s">
        <v>1410</v>
      </c>
    </row>
    <row r="536" spans="1:6" x14ac:dyDescent="0.25">
      <c r="A536" s="4" t="str">
        <f>CONCATENATE("3071-0000-7159","")</f>
        <v>3071-0000-7159</v>
      </c>
      <c r="B536" s="4" t="s">
        <v>4999</v>
      </c>
      <c r="C536" s="5">
        <v>41489</v>
      </c>
      <c r="D536" s="5">
        <v>41549</v>
      </c>
      <c r="E536" s="4" t="s">
        <v>1410</v>
      </c>
      <c r="F536" s="4" t="s">
        <v>1410</v>
      </c>
    </row>
    <row r="537" spans="1:6" x14ac:dyDescent="0.25">
      <c r="A537" s="4" t="str">
        <f>CONCATENATE("3071-0000-6071","")</f>
        <v>3071-0000-6071</v>
      </c>
      <c r="B537" s="4" t="s">
        <v>7637</v>
      </c>
      <c r="C537" s="5">
        <v>41489</v>
      </c>
      <c r="D537" s="5">
        <v>41549</v>
      </c>
      <c r="E537" s="4" t="s">
        <v>1410</v>
      </c>
      <c r="F537" s="4" t="s">
        <v>1410</v>
      </c>
    </row>
    <row r="538" spans="1:6" x14ac:dyDescent="0.25">
      <c r="A538" s="4" t="str">
        <f>CONCATENATE("3071-0000-6256","")</f>
        <v>3071-0000-6256</v>
      </c>
      <c r="B538" s="4" t="s">
        <v>7631</v>
      </c>
      <c r="C538" s="5">
        <v>41489</v>
      </c>
      <c r="D538" s="5">
        <v>41549</v>
      </c>
      <c r="E538" s="4" t="s">
        <v>1410</v>
      </c>
      <c r="F538" s="4" t="s">
        <v>1410</v>
      </c>
    </row>
    <row r="539" spans="1:6" x14ac:dyDescent="0.25">
      <c r="A539" s="4" t="str">
        <f>CONCATENATE("3071-0000-6958","")</f>
        <v>3071-0000-6958</v>
      </c>
      <c r="B539" s="4" t="s">
        <v>4566</v>
      </c>
      <c r="C539" s="5">
        <v>41489</v>
      </c>
      <c r="D539" s="5">
        <v>41549</v>
      </c>
      <c r="E539" s="4" t="s">
        <v>1410</v>
      </c>
      <c r="F539" s="4" t="s">
        <v>1410</v>
      </c>
    </row>
    <row r="540" spans="1:6" x14ac:dyDescent="0.25">
      <c r="A540" s="4" t="str">
        <f>CONCATENATE("3071-0000-6069","")</f>
        <v>3071-0000-6069</v>
      </c>
      <c r="B540" s="4" t="s">
        <v>7636</v>
      </c>
      <c r="C540" s="5">
        <v>41489</v>
      </c>
      <c r="D540" s="5">
        <v>41549</v>
      </c>
      <c r="E540" s="4" t="s">
        <v>1410</v>
      </c>
      <c r="F540" s="4" t="s">
        <v>1410</v>
      </c>
    </row>
    <row r="541" spans="1:6" x14ac:dyDescent="0.25">
      <c r="A541" s="4" t="str">
        <f>CONCATENATE("3071-0000-7565","")</f>
        <v>3071-0000-7565</v>
      </c>
      <c r="B541" s="4" t="s">
        <v>4275</v>
      </c>
      <c r="C541" s="5">
        <v>41489</v>
      </c>
      <c r="D541" s="5">
        <v>41549</v>
      </c>
      <c r="E541" s="4" t="s">
        <v>1410</v>
      </c>
      <c r="F541" s="4" t="s">
        <v>1410</v>
      </c>
    </row>
    <row r="542" spans="1:6" x14ac:dyDescent="0.25">
      <c r="A542" s="4" t="str">
        <f>CONCATENATE("3071-0000-6189","")</f>
        <v>3071-0000-6189</v>
      </c>
      <c r="B542" s="4" t="s">
        <v>7733</v>
      </c>
      <c r="C542" s="5">
        <v>41489</v>
      </c>
      <c r="D542" s="5">
        <v>41549</v>
      </c>
      <c r="E542" s="4" t="s">
        <v>1410</v>
      </c>
      <c r="F542" s="4" t="s">
        <v>1410</v>
      </c>
    </row>
    <row r="543" spans="1:6" x14ac:dyDescent="0.25">
      <c r="A543" s="4" t="str">
        <f>CONCATENATE("3071-0000-4437","")</f>
        <v>3071-0000-4437</v>
      </c>
      <c r="B543" s="4" t="s">
        <v>9309</v>
      </c>
      <c r="C543" s="5">
        <v>41489</v>
      </c>
      <c r="D543" s="5">
        <v>41549</v>
      </c>
      <c r="E543" s="4" t="s">
        <v>1410</v>
      </c>
      <c r="F543" s="4" t="s">
        <v>8696</v>
      </c>
    </row>
    <row r="544" spans="1:6" x14ac:dyDescent="0.25">
      <c r="A544" s="4" t="str">
        <f>CONCATENATE("3071-0000-6950","")</f>
        <v>3071-0000-6950</v>
      </c>
      <c r="B544" s="4" t="s">
        <v>4511</v>
      </c>
      <c r="C544" s="5">
        <v>41489</v>
      </c>
      <c r="D544" s="5">
        <v>41549</v>
      </c>
      <c r="E544" s="4" t="s">
        <v>1410</v>
      </c>
      <c r="F544" s="4" t="s">
        <v>1410</v>
      </c>
    </row>
    <row r="545" spans="1:6" x14ac:dyDescent="0.25">
      <c r="A545" s="4" t="str">
        <f>CONCATENATE("3071-0000-2025","")</f>
        <v>3071-0000-2025</v>
      </c>
      <c r="B545" s="4" t="s">
        <v>3315</v>
      </c>
      <c r="C545" s="5">
        <v>41489</v>
      </c>
      <c r="D545" s="5">
        <v>41549</v>
      </c>
      <c r="E545" s="4" t="s">
        <v>2944</v>
      </c>
      <c r="F545" s="4" t="s">
        <v>2945</v>
      </c>
    </row>
    <row r="546" spans="1:6" x14ac:dyDescent="0.25">
      <c r="A546" s="4" t="str">
        <f>CONCATENATE("3071-0000-4923","")</f>
        <v>3071-0000-4923</v>
      </c>
      <c r="B546" s="4" t="s">
        <v>9438</v>
      </c>
      <c r="C546" s="5">
        <v>41489</v>
      </c>
      <c r="D546" s="5">
        <v>41549</v>
      </c>
      <c r="E546" s="4" t="s">
        <v>7069</v>
      </c>
      <c r="F546" s="4" t="s">
        <v>9210</v>
      </c>
    </row>
    <row r="547" spans="1:6" x14ac:dyDescent="0.25">
      <c r="A547" s="4" t="str">
        <f>CONCATENATE("3071-0000-4650","")</f>
        <v>3071-0000-4650</v>
      </c>
      <c r="B547" s="4" t="s">
        <v>9398</v>
      </c>
      <c r="C547" s="5">
        <v>41489</v>
      </c>
      <c r="D547" s="5">
        <v>41549</v>
      </c>
      <c r="E547" s="4" t="s">
        <v>1410</v>
      </c>
      <c r="F547" s="4" t="s">
        <v>8696</v>
      </c>
    </row>
    <row r="548" spans="1:6" x14ac:dyDescent="0.25">
      <c r="A548" s="4" t="str">
        <f>CONCATENATE("3071-0000-4522","")</f>
        <v>3071-0000-4522</v>
      </c>
      <c r="B548" s="4" t="s">
        <v>9534</v>
      </c>
      <c r="C548" s="5">
        <v>41489</v>
      </c>
      <c r="D548" s="5">
        <v>41549</v>
      </c>
      <c r="E548" s="4" t="s">
        <v>1410</v>
      </c>
      <c r="F548" s="4" t="s">
        <v>8696</v>
      </c>
    </row>
    <row r="549" spans="1:6" x14ac:dyDescent="0.25">
      <c r="A549" s="4" t="str">
        <f>CONCATENATE("3071-0000-5091","")</f>
        <v>3071-0000-5091</v>
      </c>
      <c r="B549" s="4" t="s">
        <v>9523</v>
      </c>
      <c r="C549" s="5">
        <v>41489</v>
      </c>
      <c r="D549" s="5">
        <v>41549</v>
      </c>
      <c r="E549" s="4" t="s">
        <v>7069</v>
      </c>
      <c r="F549" s="4" t="s">
        <v>9485</v>
      </c>
    </row>
    <row r="550" spans="1:6" x14ac:dyDescent="0.25">
      <c r="A550" s="4" t="str">
        <f>CONCATENATE("3071-0000-4513","")</f>
        <v>3071-0000-4513</v>
      </c>
      <c r="B550" s="4" t="s">
        <v>9517</v>
      </c>
      <c r="C550" s="5">
        <v>41489</v>
      </c>
      <c r="D550" s="5">
        <v>41549</v>
      </c>
      <c r="E550" s="4" t="s">
        <v>1410</v>
      </c>
      <c r="F550" s="4" t="s">
        <v>8696</v>
      </c>
    </row>
    <row r="551" spans="1:6" x14ac:dyDescent="0.25">
      <c r="A551" s="4" t="str">
        <f>CONCATENATE("3071-0000-5094","")</f>
        <v>3071-0000-5094</v>
      </c>
      <c r="B551" s="4" t="s">
        <v>9602</v>
      </c>
      <c r="C551" s="5">
        <v>41489</v>
      </c>
      <c r="D551" s="5">
        <v>41549</v>
      </c>
      <c r="E551" s="4" t="s">
        <v>7069</v>
      </c>
      <c r="F551" s="4" t="s">
        <v>9485</v>
      </c>
    </row>
    <row r="552" spans="1:6" x14ac:dyDescent="0.25">
      <c r="A552" s="4" t="str">
        <f>CONCATENATE("3071-0000-0747","")</f>
        <v>3071-0000-0747</v>
      </c>
      <c r="B552" s="4" t="s">
        <v>629</v>
      </c>
      <c r="C552" s="5">
        <v>41489</v>
      </c>
      <c r="D552" s="5">
        <v>41549</v>
      </c>
      <c r="E552" s="4" t="s">
        <v>7</v>
      </c>
      <c r="F552" s="4" t="s">
        <v>7</v>
      </c>
    </row>
    <row r="553" spans="1:6" x14ac:dyDescent="0.25">
      <c r="A553" s="4" t="str">
        <f>CONCATENATE("3071-0000-0642","")</f>
        <v>3071-0000-0642</v>
      </c>
      <c r="B553" s="4" t="s">
        <v>793</v>
      </c>
      <c r="C553" s="5">
        <v>41489</v>
      </c>
      <c r="D553" s="5">
        <v>41549</v>
      </c>
      <c r="E553" s="4" t="s">
        <v>7</v>
      </c>
      <c r="F553" s="4" t="s">
        <v>7</v>
      </c>
    </row>
    <row r="554" spans="1:6" x14ac:dyDescent="0.25">
      <c r="A554" s="4" t="str">
        <f>CONCATENATE("3071-0000-7774","")</f>
        <v>3071-0000-7774</v>
      </c>
      <c r="B554" s="4" t="s">
        <v>4504</v>
      </c>
      <c r="C554" s="5">
        <v>41489</v>
      </c>
      <c r="D554" s="5">
        <v>41549</v>
      </c>
      <c r="E554" s="4" t="s">
        <v>1410</v>
      </c>
      <c r="F554" s="4" t="s">
        <v>1410</v>
      </c>
    </row>
    <row r="555" spans="1:6" x14ac:dyDescent="0.25">
      <c r="A555" s="4" t="str">
        <f>CONCATENATE("3071-0000-1925","")</f>
        <v>3071-0000-1925</v>
      </c>
      <c r="B555" s="4" t="s">
        <v>3014</v>
      </c>
      <c r="C555" s="5">
        <v>41489</v>
      </c>
      <c r="D555" s="5">
        <v>41549</v>
      </c>
      <c r="E555" s="4" t="s">
        <v>2944</v>
      </c>
      <c r="F555" s="4" t="s">
        <v>2945</v>
      </c>
    </row>
    <row r="556" spans="1:6" x14ac:dyDescent="0.25">
      <c r="A556" s="4" t="str">
        <f>CONCATENATE("3071-0000-8866","")</f>
        <v>3071-0000-8866</v>
      </c>
      <c r="B556" s="4" t="s">
        <v>6461</v>
      </c>
      <c r="C556" s="5">
        <v>41489</v>
      </c>
      <c r="D556" s="5">
        <v>41549</v>
      </c>
      <c r="E556" s="4" t="s">
        <v>5185</v>
      </c>
      <c r="F556" s="4" t="s">
        <v>5292</v>
      </c>
    </row>
    <row r="557" spans="1:6" x14ac:dyDescent="0.25">
      <c r="A557" s="4" t="str">
        <f>CONCATENATE("3071-0000-9156","")</f>
        <v>3071-0000-9156</v>
      </c>
      <c r="B557" s="4" t="s">
        <v>5677</v>
      </c>
      <c r="C557" s="5">
        <v>41489</v>
      </c>
      <c r="D557" s="5">
        <v>41549</v>
      </c>
      <c r="E557" s="4" t="s">
        <v>5185</v>
      </c>
      <c r="F557" s="4" t="s">
        <v>5250</v>
      </c>
    </row>
    <row r="558" spans="1:6" x14ac:dyDescent="0.25">
      <c r="A558" s="4" t="str">
        <f>CONCATENATE("3071-0000-8241","")</f>
        <v>3071-0000-8241</v>
      </c>
      <c r="B558" s="4" t="s">
        <v>5711</v>
      </c>
      <c r="C558" s="5">
        <v>41489</v>
      </c>
      <c r="D558" s="5">
        <v>41549</v>
      </c>
      <c r="E558" s="4" t="s">
        <v>5185</v>
      </c>
      <c r="F558" s="4" t="s">
        <v>5185</v>
      </c>
    </row>
    <row r="559" spans="1:6" x14ac:dyDescent="0.25">
      <c r="A559" s="4" t="str">
        <f>CONCATENATE("3071-0000-3162","")</f>
        <v>3071-0000-3162</v>
      </c>
      <c r="B559" s="4" t="s">
        <v>913</v>
      </c>
      <c r="C559" s="5">
        <v>41489</v>
      </c>
      <c r="D559" s="5">
        <v>41549</v>
      </c>
      <c r="E559" s="4" t="s">
        <v>7</v>
      </c>
      <c r="F559" s="4" t="s">
        <v>808</v>
      </c>
    </row>
    <row r="560" spans="1:6" x14ac:dyDescent="0.25">
      <c r="A560" s="4" t="str">
        <f>CONCATENATE("3071-0000-8401","")</f>
        <v>3071-0000-8401</v>
      </c>
      <c r="B560" s="4" t="s">
        <v>5804</v>
      </c>
      <c r="C560" s="5">
        <v>41489</v>
      </c>
      <c r="D560" s="5">
        <v>41549</v>
      </c>
      <c r="E560" s="4" t="s">
        <v>5185</v>
      </c>
      <c r="F560" s="4" t="s">
        <v>5185</v>
      </c>
    </row>
    <row r="561" spans="1:6" x14ac:dyDescent="0.25">
      <c r="A561" s="4" t="str">
        <f>CONCATENATE("3071-0000-7934","")</f>
        <v>3071-0000-7934</v>
      </c>
      <c r="B561" s="4" t="s">
        <v>5563</v>
      </c>
      <c r="C561" s="5">
        <v>41489</v>
      </c>
      <c r="D561" s="5">
        <v>41549</v>
      </c>
      <c r="E561" s="4" t="s">
        <v>5185</v>
      </c>
      <c r="F561" s="4" t="s">
        <v>5185</v>
      </c>
    </row>
    <row r="562" spans="1:6" x14ac:dyDescent="0.25">
      <c r="A562" s="4" t="str">
        <f>CONCATENATE("3071-0000-8690","")</f>
        <v>3071-0000-8690</v>
      </c>
      <c r="B562" s="4" t="s">
        <v>6468</v>
      </c>
      <c r="C562" s="5">
        <v>41489</v>
      </c>
      <c r="D562" s="5">
        <v>41549</v>
      </c>
      <c r="E562" s="4" t="s">
        <v>5185</v>
      </c>
      <c r="F562" s="4" t="s">
        <v>5292</v>
      </c>
    </row>
    <row r="563" spans="1:6" x14ac:dyDescent="0.25">
      <c r="A563" s="4" t="str">
        <f>CONCATENATE("3071-0000-8238","")</f>
        <v>3071-0000-8238</v>
      </c>
      <c r="B563" s="4" t="s">
        <v>5739</v>
      </c>
      <c r="C563" s="5">
        <v>41489</v>
      </c>
      <c r="D563" s="5">
        <v>41549</v>
      </c>
      <c r="E563" s="4" t="s">
        <v>5185</v>
      </c>
      <c r="F563" s="4" t="s">
        <v>5185</v>
      </c>
    </row>
    <row r="564" spans="1:6" x14ac:dyDescent="0.25">
      <c r="A564" s="4" t="str">
        <f>CONCATENATE("3071-0000-2978","")</f>
        <v>3071-0000-2978</v>
      </c>
      <c r="B564" s="4" t="s">
        <v>1054</v>
      </c>
      <c r="C564" s="5">
        <v>41489</v>
      </c>
      <c r="D564" s="5">
        <v>41549</v>
      </c>
      <c r="E564" s="4" t="s">
        <v>7</v>
      </c>
      <c r="F564" s="4" t="s">
        <v>808</v>
      </c>
    </row>
    <row r="565" spans="1:6" x14ac:dyDescent="0.25">
      <c r="A565" s="4" t="str">
        <f>CONCATENATE("3071-0000-8003","")</f>
        <v>3071-0000-8003</v>
      </c>
      <c r="B565" s="4" t="s">
        <v>5757</v>
      </c>
      <c r="C565" s="5">
        <v>41489</v>
      </c>
      <c r="D565" s="5">
        <v>41549</v>
      </c>
      <c r="E565" s="4" t="s">
        <v>5185</v>
      </c>
      <c r="F565" s="4" t="s">
        <v>5250</v>
      </c>
    </row>
    <row r="566" spans="1:6" x14ac:dyDescent="0.25">
      <c r="A566" s="4" t="str">
        <f>CONCATENATE("3071-0000-8893","")</f>
        <v>3071-0000-8893</v>
      </c>
      <c r="B566" s="4" t="s">
        <v>5511</v>
      </c>
      <c r="C566" s="5">
        <v>41489</v>
      </c>
      <c r="D566" s="5">
        <v>41549</v>
      </c>
      <c r="E566" s="4" t="s">
        <v>5185</v>
      </c>
      <c r="F566" s="4" t="s">
        <v>5250</v>
      </c>
    </row>
    <row r="567" spans="1:6" x14ac:dyDescent="0.25">
      <c r="A567" s="4" t="str">
        <f>CONCATENATE("3071-0000-8047","")</f>
        <v>3071-0000-8047</v>
      </c>
      <c r="B567" s="4" t="s">
        <v>5640</v>
      </c>
      <c r="C567" s="5">
        <v>41489</v>
      </c>
      <c r="D567" s="5">
        <v>41549</v>
      </c>
      <c r="E567" s="4" t="s">
        <v>5185</v>
      </c>
      <c r="F567" s="4" t="s">
        <v>5185</v>
      </c>
    </row>
    <row r="568" spans="1:6" x14ac:dyDescent="0.25">
      <c r="A568" s="4" t="str">
        <f>CONCATENATE("3071-0000-5474","")</f>
        <v>3071-0000-5474</v>
      </c>
      <c r="B568" s="4" t="s">
        <v>6836</v>
      </c>
      <c r="C568" s="5">
        <v>41489</v>
      </c>
      <c r="D568" s="5">
        <v>41549</v>
      </c>
      <c r="E568" s="4" t="s">
        <v>1410</v>
      </c>
      <c r="F568" s="4" t="s">
        <v>6635</v>
      </c>
    </row>
    <row r="569" spans="1:6" x14ac:dyDescent="0.25">
      <c r="A569" s="4" t="str">
        <f>CONCATENATE("3071-0000-9025","")</f>
        <v>3071-0000-9025</v>
      </c>
      <c r="B569" s="4" t="s">
        <v>6505</v>
      </c>
      <c r="C569" s="5">
        <v>41489</v>
      </c>
      <c r="D569" s="5">
        <v>41549</v>
      </c>
      <c r="E569" s="4" t="s">
        <v>5185</v>
      </c>
      <c r="F569" s="4" t="s">
        <v>5292</v>
      </c>
    </row>
    <row r="570" spans="1:6" x14ac:dyDescent="0.25">
      <c r="A570" s="4" t="str">
        <f>CONCATENATE("3071-0000-9016","")</f>
        <v>3071-0000-9016</v>
      </c>
      <c r="B570" s="4" t="s">
        <v>6560</v>
      </c>
      <c r="C570" s="5">
        <v>41489</v>
      </c>
      <c r="D570" s="5">
        <v>41549</v>
      </c>
      <c r="E570" s="4" t="s">
        <v>5185</v>
      </c>
      <c r="F570" s="4" t="s">
        <v>5292</v>
      </c>
    </row>
    <row r="571" spans="1:6" x14ac:dyDescent="0.25">
      <c r="A571" s="4" t="str">
        <f>CONCATENATE("3071-0000-0258","")</f>
        <v>3071-0000-0258</v>
      </c>
      <c r="B571" s="4" t="s">
        <v>566</v>
      </c>
      <c r="C571" s="5">
        <v>41489</v>
      </c>
      <c r="D571" s="5">
        <v>41549</v>
      </c>
      <c r="E571" s="4" t="s">
        <v>7</v>
      </c>
      <c r="F571" s="4" t="s">
        <v>7</v>
      </c>
    </row>
    <row r="572" spans="1:6" x14ac:dyDescent="0.25">
      <c r="A572" s="4" t="str">
        <f>CONCATENATE("3071-0000-3317","")</f>
        <v>3071-0000-3317</v>
      </c>
      <c r="B572" s="4" t="s">
        <v>1184</v>
      </c>
      <c r="C572" s="5">
        <v>41489</v>
      </c>
      <c r="D572" s="5">
        <v>41549</v>
      </c>
      <c r="E572" s="4" t="s">
        <v>7</v>
      </c>
      <c r="F572" s="4" t="s">
        <v>808</v>
      </c>
    </row>
    <row r="573" spans="1:6" x14ac:dyDescent="0.25">
      <c r="A573" s="4" t="str">
        <f>CONCATENATE("3071-0000-1883","")</f>
        <v>3071-0000-1883</v>
      </c>
      <c r="B573" s="4" t="s">
        <v>2948</v>
      </c>
      <c r="C573" s="5">
        <v>41489</v>
      </c>
      <c r="D573" s="5">
        <v>41549</v>
      </c>
      <c r="E573" s="4" t="s">
        <v>2944</v>
      </c>
      <c r="F573" s="4" t="s">
        <v>2949</v>
      </c>
    </row>
    <row r="574" spans="1:6" x14ac:dyDescent="0.25">
      <c r="A574" s="4" t="str">
        <f>CONCATENATE("3071-0000-2701","")</f>
        <v>3071-0000-2701</v>
      </c>
      <c r="B574" s="4" t="s">
        <v>3810</v>
      </c>
      <c r="C574" s="5">
        <v>41489</v>
      </c>
      <c r="D574" s="5">
        <v>41549</v>
      </c>
      <c r="E574" s="4" t="s">
        <v>7</v>
      </c>
      <c r="F574" s="4" t="s">
        <v>808</v>
      </c>
    </row>
    <row r="575" spans="1:6" x14ac:dyDescent="0.25">
      <c r="A575" s="4" t="str">
        <f>CONCATENATE("3071-0000-9273","")</f>
        <v>3071-0000-9273</v>
      </c>
      <c r="B575" s="4" t="s">
        <v>8283</v>
      </c>
      <c r="C575" s="5">
        <v>41489</v>
      </c>
      <c r="D575" s="5">
        <v>41549</v>
      </c>
      <c r="E575" s="4" t="s">
        <v>5185</v>
      </c>
      <c r="F575" s="4" t="s">
        <v>5185</v>
      </c>
    </row>
    <row r="576" spans="1:6" x14ac:dyDescent="0.25">
      <c r="A576" s="4" t="str">
        <f>CONCATENATE("3071-0000-7492","")</f>
        <v>3071-0000-7492</v>
      </c>
      <c r="B576" s="4" t="s">
        <v>4738</v>
      </c>
      <c r="C576" s="5">
        <v>41489</v>
      </c>
      <c r="D576" s="5">
        <v>41549</v>
      </c>
      <c r="E576" s="4" t="s">
        <v>1410</v>
      </c>
      <c r="F576" s="4" t="s">
        <v>4655</v>
      </c>
    </row>
    <row r="577" spans="1:6" x14ac:dyDescent="0.25">
      <c r="A577" s="4" t="str">
        <f>CONCATENATE("3071-0000-8803","")</f>
        <v>3071-0000-8803</v>
      </c>
      <c r="B577" s="4" t="s">
        <v>6546</v>
      </c>
      <c r="C577" s="5">
        <v>41489</v>
      </c>
      <c r="D577" s="5">
        <v>41549</v>
      </c>
      <c r="E577" s="4" t="s">
        <v>5185</v>
      </c>
      <c r="F577" s="4" t="s">
        <v>5292</v>
      </c>
    </row>
    <row r="578" spans="1:6" x14ac:dyDescent="0.25">
      <c r="A578" s="4" t="str">
        <f>CONCATENATE("3071-0000-8411","")</f>
        <v>3071-0000-8411</v>
      </c>
      <c r="B578" s="4" t="s">
        <v>5771</v>
      </c>
      <c r="C578" s="5">
        <v>41489</v>
      </c>
      <c r="D578" s="5">
        <v>41549</v>
      </c>
      <c r="E578" s="4" t="s">
        <v>5185</v>
      </c>
      <c r="F578" s="4" t="s">
        <v>5763</v>
      </c>
    </row>
    <row r="579" spans="1:6" x14ac:dyDescent="0.25">
      <c r="A579" s="4" t="str">
        <f>CONCATENATE("3071-0000-9075","")</f>
        <v>3071-0000-9075</v>
      </c>
      <c r="B579" s="4" t="s">
        <v>5936</v>
      </c>
      <c r="C579" s="5">
        <v>41489</v>
      </c>
      <c r="D579" s="5">
        <v>41549</v>
      </c>
      <c r="E579" s="4" t="s">
        <v>5185</v>
      </c>
      <c r="F579" s="4" t="s">
        <v>4188</v>
      </c>
    </row>
    <row r="580" spans="1:6" x14ac:dyDescent="0.25">
      <c r="A580" s="4" t="str">
        <f>CONCATENATE("3071-0000-4189","")</f>
        <v>3071-0000-4189</v>
      </c>
      <c r="B580" s="4" t="s">
        <v>4200</v>
      </c>
      <c r="C580" s="5">
        <v>41489</v>
      </c>
      <c r="D580" s="5">
        <v>41549</v>
      </c>
      <c r="E580" s="4" t="s">
        <v>7</v>
      </c>
      <c r="F580" s="4" t="s">
        <v>1419</v>
      </c>
    </row>
    <row r="581" spans="1:6" x14ac:dyDescent="0.25">
      <c r="A581" s="4" t="str">
        <f>CONCATENATE("3071-0000-4873","")</f>
        <v>3071-0000-4873</v>
      </c>
      <c r="B581" s="4" t="s">
        <v>9277</v>
      </c>
      <c r="C581" s="5">
        <v>41489</v>
      </c>
      <c r="D581" s="5">
        <v>41549</v>
      </c>
      <c r="E581" s="4" t="s">
        <v>7069</v>
      </c>
      <c r="F581" s="4" t="s">
        <v>9210</v>
      </c>
    </row>
    <row r="582" spans="1:6" x14ac:dyDescent="0.25">
      <c r="A582" s="4" t="str">
        <f>CONCATENATE("3071-0000-8603","")</f>
        <v>3071-0000-8603</v>
      </c>
      <c r="B582" s="4" t="s">
        <v>5453</v>
      </c>
      <c r="C582" s="5">
        <v>41489</v>
      </c>
      <c r="D582" s="5">
        <v>41549</v>
      </c>
      <c r="E582" s="4" t="s">
        <v>1410</v>
      </c>
      <c r="F582" s="4" t="s">
        <v>4616</v>
      </c>
    </row>
    <row r="583" spans="1:6" x14ac:dyDescent="0.25">
      <c r="A583" s="4" t="str">
        <f>CONCATENATE("3071-0000-1806","")</f>
        <v>3071-0000-1806</v>
      </c>
      <c r="B583" s="4" t="s">
        <v>2312</v>
      </c>
      <c r="C583" s="5">
        <v>41489</v>
      </c>
      <c r="D583" s="5">
        <v>41549</v>
      </c>
      <c r="E583" s="4" t="s">
        <v>1381</v>
      </c>
      <c r="F583" s="4" t="s">
        <v>2301</v>
      </c>
    </row>
    <row r="584" spans="1:6" x14ac:dyDescent="0.25">
      <c r="A584" s="4" t="str">
        <f>CONCATENATE("3071-0000-3755","")</f>
        <v>3071-0000-3755</v>
      </c>
      <c r="B584" s="4" t="s">
        <v>1623</v>
      </c>
      <c r="C584" s="5">
        <v>41489</v>
      </c>
      <c r="D584" s="5">
        <v>41549</v>
      </c>
      <c r="E584" s="4" t="s">
        <v>1410</v>
      </c>
      <c r="F584" s="4" t="s">
        <v>1613</v>
      </c>
    </row>
    <row r="585" spans="1:6" x14ac:dyDescent="0.25">
      <c r="A585" s="4" t="str">
        <f>CONCATENATE("3071-0000-4463","")</f>
        <v>3071-0000-4463</v>
      </c>
      <c r="B585" s="4" t="s">
        <v>9347</v>
      </c>
      <c r="C585" s="5">
        <v>41489</v>
      </c>
      <c r="D585" s="5">
        <v>41549</v>
      </c>
      <c r="E585" s="4" t="s">
        <v>1410</v>
      </c>
      <c r="F585" s="4" t="s">
        <v>8696</v>
      </c>
    </row>
    <row r="586" spans="1:6" x14ac:dyDescent="0.25">
      <c r="A586" s="4" t="str">
        <f>CONCATENATE("3071-0000-5785","")</f>
        <v>3071-0000-5785</v>
      </c>
      <c r="B586" s="4" t="s">
        <v>7018</v>
      </c>
      <c r="C586" s="5">
        <v>41489</v>
      </c>
      <c r="D586" s="5">
        <v>41549</v>
      </c>
      <c r="E586" s="4" t="s">
        <v>5185</v>
      </c>
      <c r="F586" s="4" t="s">
        <v>5185</v>
      </c>
    </row>
    <row r="587" spans="1:6" x14ac:dyDescent="0.25">
      <c r="A587" s="4" t="str">
        <f>CONCATENATE("3071-0000-6274","")</f>
        <v>3071-0000-6274</v>
      </c>
      <c r="B587" s="4" t="s">
        <v>7075</v>
      </c>
      <c r="C587" s="5">
        <v>41489</v>
      </c>
      <c r="D587" s="5">
        <v>41549</v>
      </c>
      <c r="E587" s="4" t="s">
        <v>7069</v>
      </c>
      <c r="F587" s="4" t="s">
        <v>7070</v>
      </c>
    </row>
    <row r="588" spans="1:6" x14ac:dyDescent="0.25">
      <c r="A588" s="4" t="str">
        <f>CONCATENATE("3071-0000-6210","")</f>
        <v>3071-0000-6210</v>
      </c>
      <c r="B588" s="4" t="s">
        <v>7040</v>
      </c>
      <c r="C588" s="5">
        <v>41489</v>
      </c>
      <c r="D588" s="5">
        <v>41549</v>
      </c>
      <c r="E588" s="4" t="s">
        <v>1410</v>
      </c>
      <c r="F588" s="4" t="s">
        <v>6798</v>
      </c>
    </row>
    <row r="589" spans="1:6" x14ac:dyDescent="0.25">
      <c r="A589" s="4" t="str">
        <f>CONCATENATE("3071-0000-2437","")</f>
        <v>3071-0000-2437</v>
      </c>
      <c r="B589" s="4" t="s">
        <v>3727</v>
      </c>
      <c r="C589" s="5">
        <v>41489</v>
      </c>
      <c r="D589" s="5">
        <v>41549</v>
      </c>
      <c r="E589" s="4" t="s">
        <v>2944</v>
      </c>
      <c r="F589" s="4" t="s">
        <v>3593</v>
      </c>
    </row>
    <row r="590" spans="1:6" x14ac:dyDescent="0.25">
      <c r="A590" s="4" t="str">
        <f>CONCATENATE("3071-0000-1823","")</f>
        <v>3071-0000-1823</v>
      </c>
      <c r="B590" s="4" t="s">
        <v>2891</v>
      </c>
      <c r="C590" s="5">
        <v>41489</v>
      </c>
      <c r="D590" s="5">
        <v>41549</v>
      </c>
      <c r="E590" s="4" t="s">
        <v>1381</v>
      </c>
      <c r="F590" s="4" t="s">
        <v>2840</v>
      </c>
    </row>
    <row r="591" spans="1:6" x14ac:dyDescent="0.25">
      <c r="A591" s="4" t="str">
        <f>CONCATENATE("3071-0000-2705","")</f>
        <v>3071-0000-2705</v>
      </c>
      <c r="B591" s="4" t="s">
        <v>2985</v>
      </c>
      <c r="C591" s="5">
        <v>41489</v>
      </c>
      <c r="D591" s="5">
        <v>41549</v>
      </c>
      <c r="E591" s="4" t="s">
        <v>2944</v>
      </c>
      <c r="F591" s="4" t="s">
        <v>2949</v>
      </c>
    </row>
    <row r="592" spans="1:6" x14ac:dyDescent="0.25">
      <c r="A592" s="4" t="str">
        <f>CONCATENATE("3071-0000-1877","")</f>
        <v>3071-0000-1877</v>
      </c>
      <c r="B592" s="4" t="s">
        <v>3725</v>
      </c>
      <c r="C592" s="5">
        <v>41489</v>
      </c>
      <c r="D592" s="5">
        <v>41549</v>
      </c>
      <c r="E592" s="4" t="s">
        <v>2944</v>
      </c>
      <c r="F592" s="4" t="s">
        <v>3593</v>
      </c>
    </row>
    <row r="593" spans="1:6" x14ac:dyDescent="0.25">
      <c r="A593" s="4" t="str">
        <f>CONCATENATE("3071-0000-5771","")</f>
        <v>3071-0000-5771</v>
      </c>
      <c r="B593" s="4" t="s">
        <v>7002</v>
      </c>
      <c r="C593" s="5">
        <v>41489</v>
      </c>
      <c r="D593" s="5">
        <v>41549</v>
      </c>
      <c r="E593" s="4" t="s">
        <v>5185</v>
      </c>
      <c r="F593" s="4" t="s">
        <v>5185</v>
      </c>
    </row>
    <row r="594" spans="1:6" x14ac:dyDescent="0.25">
      <c r="A594" s="4" t="str">
        <f>CONCATENATE("3071-0000-5609","")</f>
        <v>3071-0000-5609</v>
      </c>
      <c r="B594" s="4" t="s">
        <v>7167</v>
      </c>
      <c r="C594" s="5">
        <v>41489</v>
      </c>
      <c r="D594" s="5">
        <v>41549</v>
      </c>
      <c r="E594" s="4" t="s">
        <v>5185</v>
      </c>
      <c r="F594" s="4" t="s">
        <v>5185</v>
      </c>
    </row>
    <row r="595" spans="1:6" x14ac:dyDescent="0.25">
      <c r="A595" s="4" t="str">
        <f>CONCATENATE("3071-0000-5801","")</f>
        <v>3071-0000-5801</v>
      </c>
      <c r="B595" s="4" t="s">
        <v>7028</v>
      </c>
      <c r="C595" s="5">
        <v>41489</v>
      </c>
      <c r="D595" s="5">
        <v>41549</v>
      </c>
      <c r="E595" s="4" t="s">
        <v>5185</v>
      </c>
      <c r="F595" s="4" t="s">
        <v>5185</v>
      </c>
    </row>
    <row r="596" spans="1:6" x14ac:dyDescent="0.25">
      <c r="A596" s="4" t="str">
        <f>CONCATENATE("3071-0000-2352","")</f>
        <v>3071-0000-2352</v>
      </c>
      <c r="B596" s="4" t="s">
        <v>2963</v>
      </c>
      <c r="C596" s="5">
        <v>41489</v>
      </c>
      <c r="D596" s="5">
        <v>41549</v>
      </c>
      <c r="E596" s="4" t="s">
        <v>2944</v>
      </c>
      <c r="F596" s="4" t="s">
        <v>2945</v>
      </c>
    </row>
    <row r="597" spans="1:6" x14ac:dyDescent="0.25">
      <c r="A597" s="4" t="str">
        <f>CONCATENATE("3071-0000-2581","")</f>
        <v>3071-0000-2581</v>
      </c>
      <c r="B597" s="4" t="s">
        <v>3264</v>
      </c>
      <c r="C597" s="5">
        <v>41489</v>
      </c>
      <c r="D597" s="5">
        <v>41549</v>
      </c>
      <c r="E597" s="4" t="s">
        <v>2944</v>
      </c>
      <c r="F597" s="4" t="s">
        <v>3164</v>
      </c>
    </row>
    <row r="598" spans="1:6" x14ac:dyDescent="0.25">
      <c r="A598" s="4" t="str">
        <f>CONCATENATE("3071-0000-0865","")</f>
        <v>3071-0000-0865</v>
      </c>
      <c r="B598" s="4" t="s">
        <v>1962</v>
      </c>
      <c r="C598" s="5">
        <v>41489</v>
      </c>
      <c r="D598" s="5">
        <v>41549</v>
      </c>
      <c r="E598" s="4" t="s">
        <v>1857</v>
      </c>
      <c r="F598" s="4" t="s">
        <v>1857</v>
      </c>
    </row>
    <row r="599" spans="1:6" x14ac:dyDescent="0.25">
      <c r="A599" s="4" t="str">
        <f>CONCATENATE("3071-0000-7007","")</f>
        <v>3071-0000-7007</v>
      </c>
      <c r="B599" s="4" t="s">
        <v>4650</v>
      </c>
      <c r="C599" s="5">
        <v>41489</v>
      </c>
      <c r="D599" s="5">
        <v>41549</v>
      </c>
      <c r="E599" s="4" t="s">
        <v>1410</v>
      </c>
      <c r="F599" s="4" t="s">
        <v>1410</v>
      </c>
    </row>
    <row r="600" spans="1:6" x14ac:dyDescent="0.25">
      <c r="A600" s="4" t="str">
        <f>CONCATENATE("3071-0000-5967","")</f>
        <v>3071-0000-5967</v>
      </c>
      <c r="B600" s="4" t="s">
        <v>7300</v>
      </c>
      <c r="C600" s="5">
        <v>41489</v>
      </c>
      <c r="D600" s="5">
        <v>41549</v>
      </c>
      <c r="E600" s="4" t="s">
        <v>5185</v>
      </c>
      <c r="F600" s="4" t="s">
        <v>5185</v>
      </c>
    </row>
    <row r="601" spans="1:6" x14ac:dyDescent="0.25">
      <c r="A601" s="4" t="str">
        <f>CONCATENATE("3071-0000-7568","")</f>
        <v>3071-0000-7568</v>
      </c>
      <c r="B601" s="4" t="s">
        <v>4520</v>
      </c>
      <c r="C601" s="5">
        <v>41489</v>
      </c>
      <c r="D601" s="5">
        <v>41549</v>
      </c>
      <c r="E601" s="4" t="s">
        <v>1410</v>
      </c>
      <c r="F601" s="4" t="s">
        <v>1410</v>
      </c>
    </row>
    <row r="602" spans="1:6" x14ac:dyDescent="0.25">
      <c r="A602" s="4" t="str">
        <f>CONCATENATE("3071-0000-8019","")</f>
        <v>3071-0000-8019</v>
      </c>
      <c r="B602" s="4" t="s">
        <v>5650</v>
      </c>
      <c r="C602" s="5">
        <v>41489</v>
      </c>
      <c r="D602" s="5">
        <v>41549</v>
      </c>
      <c r="E602" s="4" t="s">
        <v>5185</v>
      </c>
      <c r="F602" s="4" t="s">
        <v>5185</v>
      </c>
    </row>
    <row r="603" spans="1:6" x14ac:dyDescent="0.25">
      <c r="A603" s="4" t="str">
        <f>CONCATENATE("3071-0000-3065","")</f>
        <v>3071-0000-3065</v>
      </c>
      <c r="B603" s="4" t="s">
        <v>895</v>
      </c>
      <c r="C603" s="5">
        <v>41489</v>
      </c>
      <c r="D603" s="5">
        <v>41549</v>
      </c>
      <c r="E603" s="4" t="s">
        <v>7</v>
      </c>
      <c r="F603" s="4" t="s">
        <v>808</v>
      </c>
    </row>
    <row r="604" spans="1:6" x14ac:dyDescent="0.25">
      <c r="A604" s="4" t="str">
        <f>CONCATENATE("3071-0000-7199","")</f>
        <v>3071-0000-7199</v>
      </c>
      <c r="B604" s="4" t="s">
        <v>5054</v>
      </c>
      <c r="C604" s="5">
        <v>41489</v>
      </c>
      <c r="D604" s="5">
        <v>41549</v>
      </c>
      <c r="E604" s="4" t="s">
        <v>1410</v>
      </c>
      <c r="F604" s="4" t="s">
        <v>1410</v>
      </c>
    </row>
    <row r="605" spans="1:6" x14ac:dyDescent="0.25">
      <c r="A605" s="4" t="str">
        <f>CONCATENATE("3071-0000-0670","")</f>
        <v>3071-0000-0670</v>
      </c>
      <c r="B605" s="4" t="s">
        <v>747</v>
      </c>
      <c r="C605" s="5">
        <v>41489</v>
      </c>
      <c r="D605" s="5">
        <v>41549</v>
      </c>
      <c r="E605" s="4" t="s">
        <v>7</v>
      </c>
      <c r="F605" s="4" t="s">
        <v>273</v>
      </c>
    </row>
    <row r="606" spans="1:6" x14ac:dyDescent="0.25">
      <c r="A606" s="4" t="str">
        <f>CONCATENATE("3071-0000-6946","")</f>
        <v>3071-0000-6946</v>
      </c>
      <c r="B606" s="4" t="s">
        <v>4533</v>
      </c>
      <c r="C606" s="5">
        <v>41489</v>
      </c>
      <c r="D606" s="5">
        <v>41549</v>
      </c>
      <c r="E606" s="4" t="s">
        <v>1410</v>
      </c>
      <c r="F606" s="4" t="s">
        <v>1410</v>
      </c>
    </row>
    <row r="607" spans="1:6" x14ac:dyDescent="0.25">
      <c r="A607" s="4" t="str">
        <f>CONCATENATE("3071-0000-4293","")</f>
        <v>3071-0000-4293</v>
      </c>
      <c r="B607" s="4" t="s">
        <v>8930</v>
      </c>
      <c r="C607" s="5">
        <v>41489</v>
      </c>
      <c r="D607" s="5">
        <v>41549</v>
      </c>
      <c r="E607" s="4" t="s">
        <v>1410</v>
      </c>
      <c r="F607" s="4" t="s">
        <v>8696</v>
      </c>
    </row>
    <row r="608" spans="1:6" x14ac:dyDescent="0.25">
      <c r="A608" s="4" t="str">
        <f>CONCATENATE("3071-0000-4981","")</f>
        <v>3071-0000-4981</v>
      </c>
      <c r="B608" s="4" t="s">
        <v>9376</v>
      </c>
      <c r="C608" s="5">
        <v>41489</v>
      </c>
      <c r="D608" s="5">
        <v>41549</v>
      </c>
      <c r="E608" s="4" t="s">
        <v>7069</v>
      </c>
      <c r="F608" s="4" t="s">
        <v>9210</v>
      </c>
    </row>
    <row r="609" spans="1:6" x14ac:dyDescent="0.25">
      <c r="A609" s="4" t="str">
        <f>CONCATENATE("3071-0000-4651","")</f>
        <v>3071-0000-4651</v>
      </c>
      <c r="B609" s="4" t="s">
        <v>9399</v>
      </c>
      <c r="C609" s="5">
        <v>41489</v>
      </c>
      <c r="D609" s="5">
        <v>41549</v>
      </c>
      <c r="E609" s="4" t="s">
        <v>1410</v>
      </c>
      <c r="F609" s="4" t="s">
        <v>8696</v>
      </c>
    </row>
    <row r="610" spans="1:6" x14ac:dyDescent="0.25">
      <c r="A610" s="4" t="str">
        <f>CONCATENATE("3071-0000-0476","")</f>
        <v>3071-0000-0476</v>
      </c>
      <c r="B610" s="4" t="s">
        <v>544</v>
      </c>
      <c r="C610" s="5">
        <v>41489</v>
      </c>
      <c r="D610" s="5">
        <v>41549</v>
      </c>
      <c r="E610" s="4" t="s">
        <v>7</v>
      </c>
      <c r="F610" s="4" t="s">
        <v>7</v>
      </c>
    </row>
    <row r="611" spans="1:6" x14ac:dyDescent="0.25">
      <c r="A611" s="4" t="str">
        <f>CONCATENATE("3071-0000-8974","")</f>
        <v>3071-0000-8974</v>
      </c>
      <c r="B611" s="4" t="s">
        <v>6264</v>
      </c>
      <c r="C611" s="5">
        <v>41489</v>
      </c>
      <c r="D611" s="5">
        <v>41549</v>
      </c>
      <c r="E611" s="4" t="s">
        <v>5185</v>
      </c>
      <c r="F611" s="4" t="s">
        <v>6181</v>
      </c>
    </row>
    <row r="612" spans="1:6" x14ac:dyDescent="0.25">
      <c r="A612" s="4" t="str">
        <f>CONCATENATE("3071-0000-7792","")</f>
        <v>3071-0000-7792</v>
      </c>
      <c r="B612" s="4" t="s">
        <v>5212</v>
      </c>
      <c r="C612" s="5">
        <v>41489</v>
      </c>
      <c r="D612" s="5">
        <v>41549</v>
      </c>
      <c r="E612" s="4" t="s">
        <v>5185</v>
      </c>
      <c r="F612" s="4" t="s">
        <v>5185</v>
      </c>
    </row>
    <row r="613" spans="1:6" x14ac:dyDescent="0.25">
      <c r="A613" s="4" t="str">
        <f>CONCATENATE("3071-0000-9087","")</f>
        <v>3071-0000-9087</v>
      </c>
      <c r="B613" s="4" t="s">
        <v>5268</v>
      </c>
      <c r="C613" s="5">
        <v>41489</v>
      </c>
      <c r="D613" s="5">
        <v>41549</v>
      </c>
      <c r="E613" s="4" t="s">
        <v>5185</v>
      </c>
      <c r="F613" s="4" t="s">
        <v>5185</v>
      </c>
    </row>
    <row r="614" spans="1:6" x14ac:dyDescent="0.25">
      <c r="A614" s="4" t="str">
        <f>CONCATENATE("3071-0000-7798","")</f>
        <v>3071-0000-7798</v>
      </c>
      <c r="B614" s="4" t="s">
        <v>5213</v>
      </c>
      <c r="C614" s="5">
        <v>41489</v>
      </c>
      <c r="D614" s="5">
        <v>41549</v>
      </c>
      <c r="E614" s="4" t="s">
        <v>5185</v>
      </c>
      <c r="F614" s="4" t="s">
        <v>5185</v>
      </c>
    </row>
    <row r="615" spans="1:6" x14ac:dyDescent="0.25">
      <c r="A615" s="4" t="str">
        <f>CONCATENATE("3071-0000-7937","")</f>
        <v>3071-0000-7937</v>
      </c>
      <c r="B615" s="4" t="s">
        <v>5756</v>
      </c>
      <c r="C615" s="5">
        <v>41489</v>
      </c>
      <c r="D615" s="5">
        <v>41549</v>
      </c>
      <c r="E615" s="4" t="s">
        <v>5185</v>
      </c>
      <c r="F615" s="4" t="s">
        <v>5250</v>
      </c>
    </row>
    <row r="616" spans="1:6" x14ac:dyDescent="0.25">
      <c r="A616" s="4" t="str">
        <f>CONCATENATE("3071-0000-6240","")</f>
        <v>3071-0000-6240</v>
      </c>
      <c r="B616" s="4" t="s">
        <v>7670</v>
      </c>
      <c r="C616" s="5">
        <v>41489</v>
      </c>
      <c r="D616" s="5">
        <v>41549</v>
      </c>
      <c r="E616" s="4" t="s">
        <v>1410</v>
      </c>
      <c r="F616" s="4" t="s">
        <v>1410</v>
      </c>
    </row>
    <row r="617" spans="1:6" x14ac:dyDescent="0.25">
      <c r="A617" s="4" t="str">
        <f>CONCATENATE("3071-0000-8628","")</f>
        <v>3071-0000-8628</v>
      </c>
      <c r="B617" s="4" t="s">
        <v>5586</v>
      </c>
      <c r="C617" s="5">
        <v>41489</v>
      </c>
      <c r="D617" s="5">
        <v>41549</v>
      </c>
      <c r="E617" s="4" t="s">
        <v>5185</v>
      </c>
      <c r="F617" s="4" t="s">
        <v>5250</v>
      </c>
    </row>
    <row r="618" spans="1:6" x14ac:dyDescent="0.25">
      <c r="A618" s="4" t="str">
        <f>CONCATENATE("3071-0000-8624","")</f>
        <v>3071-0000-8624</v>
      </c>
      <c r="B618" s="4" t="s">
        <v>5245</v>
      </c>
      <c r="C618" s="5">
        <v>41489</v>
      </c>
      <c r="D618" s="5">
        <v>41549</v>
      </c>
      <c r="E618" s="4" t="s">
        <v>5185</v>
      </c>
      <c r="F618" s="4" t="s">
        <v>5185</v>
      </c>
    </row>
    <row r="619" spans="1:6" x14ac:dyDescent="0.25">
      <c r="A619" s="4" t="str">
        <f>CONCATENATE("3071-0000-8966","")</f>
        <v>3071-0000-8966</v>
      </c>
      <c r="B619" s="4" t="s">
        <v>6266</v>
      </c>
      <c r="C619" s="5">
        <v>41489</v>
      </c>
      <c r="D619" s="5">
        <v>41549</v>
      </c>
      <c r="E619" s="4" t="s">
        <v>5185</v>
      </c>
      <c r="F619" s="4" t="s">
        <v>6181</v>
      </c>
    </row>
    <row r="620" spans="1:6" x14ac:dyDescent="0.25">
      <c r="A620" s="4" t="str">
        <f>CONCATENATE("3071-0000-0034","")</f>
        <v>3071-0000-0034</v>
      </c>
      <c r="B620" s="4" t="s">
        <v>63</v>
      </c>
      <c r="C620" s="5">
        <v>41489</v>
      </c>
      <c r="D620" s="5">
        <v>41549</v>
      </c>
      <c r="E620" s="4" t="s">
        <v>7</v>
      </c>
      <c r="F620" s="4" t="s">
        <v>7</v>
      </c>
    </row>
    <row r="621" spans="1:6" x14ac:dyDescent="0.25">
      <c r="A621" s="4" t="str">
        <f>CONCATENATE("3071-0000-5614","")</f>
        <v>3071-0000-5614</v>
      </c>
      <c r="B621" s="4" t="s">
        <v>7154</v>
      </c>
      <c r="C621" s="5">
        <v>41489</v>
      </c>
      <c r="D621" s="5">
        <v>41549</v>
      </c>
      <c r="E621" s="4" t="s">
        <v>5185</v>
      </c>
      <c r="F621" s="4" t="s">
        <v>5185</v>
      </c>
    </row>
    <row r="622" spans="1:6" x14ac:dyDescent="0.25">
      <c r="A622" s="4" t="str">
        <f>CONCATENATE("3071-0000-5721","")</f>
        <v>3071-0000-5721</v>
      </c>
      <c r="B622" s="4" t="s">
        <v>7169</v>
      </c>
      <c r="C622" s="5">
        <v>41489</v>
      </c>
      <c r="D622" s="5">
        <v>41549</v>
      </c>
      <c r="E622" s="4" t="s">
        <v>5185</v>
      </c>
      <c r="F622" s="4" t="s">
        <v>5185</v>
      </c>
    </row>
    <row r="623" spans="1:6" x14ac:dyDescent="0.25">
      <c r="A623" s="4" t="str">
        <f>CONCATENATE("3071-0000-4954","")</f>
        <v>3071-0000-4954</v>
      </c>
      <c r="B623" s="4" t="s">
        <v>9477</v>
      </c>
      <c r="C623" s="5">
        <v>41489</v>
      </c>
      <c r="D623" s="5">
        <v>41549</v>
      </c>
      <c r="E623" s="4" t="s">
        <v>7069</v>
      </c>
      <c r="F623" s="4" t="s">
        <v>9210</v>
      </c>
    </row>
    <row r="624" spans="1:6" x14ac:dyDescent="0.25">
      <c r="A624" s="4" t="str">
        <f>CONCATENATE("3071-0000-4126","")</f>
        <v>3071-0000-4126</v>
      </c>
      <c r="B624" s="4" t="s">
        <v>4253</v>
      </c>
      <c r="C624" s="5">
        <v>41489</v>
      </c>
      <c r="D624" s="5">
        <v>41549</v>
      </c>
      <c r="E624" s="4" t="s">
        <v>7</v>
      </c>
      <c r="F624" s="4" t="s">
        <v>1419</v>
      </c>
    </row>
    <row r="625" spans="1:6" x14ac:dyDescent="0.25">
      <c r="A625" s="4" t="str">
        <f>CONCATENATE("3071-0000-2911","")</f>
        <v>3071-0000-2911</v>
      </c>
      <c r="B625" s="4" t="s">
        <v>1303</v>
      </c>
      <c r="C625" s="5">
        <v>41489</v>
      </c>
      <c r="D625" s="5">
        <v>41549</v>
      </c>
      <c r="E625" s="4" t="s">
        <v>7</v>
      </c>
      <c r="F625" s="4" t="s">
        <v>808</v>
      </c>
    </row>
    <row r="626" spans="1:6" x14ac:dyDescent="0.25">
      <c r="A626" s="4" t="str">
        <f>CONCATENATE("3071-0000-4371","")</f>
        <v>3071-0000-4371</v>
      </c>
      <c r="B626" s="4" t="s">
        <v>9213</v>
      </c>
      <c r="C626" s="5">
        <v>41489</v>
      </c>
      <c r="D626" s="5">
        <v>41549</v>
      </c>
      <c r="E626" s="4" t="s">
        <v>1410</v>
      </c>
      <c r="F626" s="4" t="s">
        <v>8696</v>
      </c>
    </row>
    <row r="627" spans="1:6" x14ac:dyDescent="0.25">
      <c r="A627" s="4" t="str">
        <f>CONCATENATE("3071-0000-3372","")</f>
        <v>3071-0000-3372</v>
      </c>
      <c r="B627" s="4" t="s">
        <v>1513</v>
      </c>
      <c r="C627" s="5">
        <v>41489</v>
      </c>
      <c r="D627" s="5">
        <v>41549</v>
      </c>
      <c r="E627" s="4" t="s">
        <v>1410</v>
      </c>
      <c r="F627" s="4" t="s">
        <v>1411</v>
      </c>
    </row>
    <row r="628" spans="1:6" x14ac:dyDescent="0.25">
      <c r="A628" s="4" t="str">
        <f>CONCATENATE("3071-0000-3985","")</f>
        <v>3071-0000-3985</v>
      </c>
      <c r="B628" s="4" t="s">
        <v>4193</v>
      </c>
      <c r="C628" s="5">
        <v>41489</v>
      </c>
      <c r="D628" s="5">
        <v>41549</v>
      </c>
      <c r="E628" s="4" t="s">
        <v>2944</v>
      </c>
      <c r="F628" s="4" t="s">
        <v>3513</v>
      </c>
    </row>
    <row r="629" spans="1:6" x14ac:dyDescent="0.25">
      <c r="A629" s="4" t="str">
        <f>CONCATENATE("3071-0000-3186","")</f>
        <v>3071-0000-3186</v>
      </c>
      <c r="B629" s="4" t="s">
        <v>884</v>
      </c>
      <c r="C629" s="5">
        <v>41489</v>
      </c>
      <c r="D629" s="5">
        <v>41549</v>
      </c>
      <c r="E629" s="4" t="s">
        <v>7</v>
      </c>
      <c r="F629" s="4" t="s">
        <v>812</v>
      </c>
    </row>
    <row r="630" spans="1:6" x14ac:dyDescent="0.25">
      <c r="A630" s="4" t="str">
        <f>CONCATENATE("3071-0000-7914","")</f>
        <v>3071-0000-7914</v>
      </c>
      <c r="B630" s="4" t="s">
        <v>5607</v>
      </c>
      <c r="C630" s="5">
        <v>41489</v>
      </c>
      <c r="D630" s="5">
        <v>41549</v>
      </c>
      <c r="E630" s="4" t="s">
        <v>5185</v>
      </c>
      <c r="F630" s="4" t="s">
        <v>5185</v>
      </c>
    </row>
    <row r="631" spans="1:6" x14ac:dyDescent="0.25">
      <c r="A631" s="4" t="str">
        <f>CONCATENATE("3071-0000-3022","")</f>
        <v>3071-0000-3022</v>
      </c>
      <c r="B631" s="4" t="s">
        <v>1220</v>
      </c>
      <c r="C631" s="5">
        <v>41489</v>
      </c>
      <c r="D631" s="5">
        <v>41549</v>
      </c>
      <c r="E631" s="4" t="s">
        <v>7</v>
      </c>
      <c r="F631" s="4" t="s">
        <v>808</v>
      </c>
    </row>
    <row r="632" spans="1:6" x14ac:dyDescent="0.25">
      <c r="A632" s="4" t="str">
        <f>CONCATENATE("3071-0000-2917","")</f>
        <v>3071-0000-2917</v>
      </c>
      <c r="B632" s="4" t="s">
        <v>1341</v>
      </c>
      <c r="C632" s="5">
        <v>41489</v>
      </c>
      <c r="D632" s="5">
        <v>41549</v>
      </c>
      <c r="E632" s="4" t="s">
        <v>7</v>
      </c>
      <c r="F632" s="4" t="s">
        <v>808</v>
      </c>
    </row>
    <row r="633" spans="1:6" x14ac:dyDescent="0.25">
      <c r="A633" s="4" t="str">
        <f>CONCATENATE("3071-0000-2913","")</f>
        <v>3071-0000-2913</v>
      </c>
      <c r="B633" s="4" t="s">
        <v>1331</v>
      </c>
      <c r="C633" s="5">
        <v>41489</v>
      </c>
      <c r="D633" s="5">
        <v>41549</v>
      </c>
      <c r="E633" s="4" t="s">
        <v>7</v>
      </c>
      <c r="F633" s="4" t="s">
        <v>808</v>
      </c>
    </row>
    <row r="634" spans="1:6" x14ac:dyDescent="0.25">
      <c r="A634" s="4" t="str">
        <f>CONCATENATE("3071-0000-2914","")</f>
        <v>3071-0000-2914</v>
      </c>
      <c r="B634" s="4" t="s">
        <v>1332</v>
      </c>
      <c r="C634" s="5">
        <v>41489</v>
      </c>
      <c r="D634" s="5">
        <v>41549</v>
      </c>
      <c r="E634" s="4" t="s">
        <v>7</v>
      </c>
      <c r="F634" s="4" t="s">
        <v>808</v>
      </c>
    </row>
    <row r="635" spans="1:6" x14ac:dyDescent="0.25">
      <c r="A635" s="4" t="str">
        <f>CONCATENATE("3071-0000-6637","")</f>
        <v>3071-0000-6637</v>
      </c>
      <c r="B635" s="4" t="s">
        <v>8234</v>
      </c>
      <c r="C635" s="5">
        <v>41489</v>
      </c>
      <c r="D635" s="5">
        <v>41549</v>
      </c>
      <c r="E635" s="4" t="s">
        <v>5185</v>
      </c>
      <c r="F635" s="4" t="s">
        <v>5185</v>
      </c>
    </row>
    <row r="636" spans="1:6" x14ac:dyDescent="0.25">
      <c r="A636" s="4" t="str">
        <f>CONCATENATE("3071-0000-2956","")</f>
        <v>3071-0000-2956</v>
      </c>
      <c r="B636" s="4" t="s">
        <v>1299</v>
      </c>
      <c r="C636" s="5">
        <v>41489</v>
      </c>
      <c r="D636" s="5">
        <v>41549</v>
      </c>
      <c r="E636" s="4" t="s">
        <v>7</v>
      </c>
      <c r="F636" s="4" t="s">
        <v>808</v>
      </c>
    </row>
    <row r="637" spans="1:6" x14ac:dyDescent="0.25">
      <c r="A637" s="4" t="str">
        <f>CONCATENATE("3071-0000-2583","")</f>
        <v>3071-0000-2583</v>
      </c>
      <c r="B637" s="4" t="s">
        <v>3265</v>
      </c>
      <c r="C637" s="5">
        <v>41489</v>
      </c>
      <c r="D637" s="5">
        <v>41549</v>
      </c>
      <c r="E637" s="4" t="s">
        <v>2944</v>
      </c>
      <c r="F637" s="4" t="s">
        <v>3164</v>
      </c>
    </row>
    <row r="638" spans="1:6" x14ac:dyDescent="0.25">
      <c r="A638" s="4" t="str">
        <f>CONCATENATE("3071-0000-3589","")</f>
        <v>3071-0000-3589</v>
      </c>
      <c r="B638" s="4" t="s">
        <v>1505</v>
      </c>
      <c r="C638" s="5">
        <v>41489</v>
      </c>
      <c r="D638" s="5">
        <v>41549</v>
      </c>
      <c r="E638" s="4" t="s">
        <v>1410</v>
      </c>
      <c r="F638" s="4" t="s">
        <v>1411</v>
      </c>
    </row>
    <row r="639" spans="1:6" x14ac:dyDescent="0.25">
      <c r="A639" s="4" t="str">
        <f>CONCATENATE("3071-0000-3314","")</f>
        <v>3071-0000-3314</v>
      </c>
      <c r="B639" s="4" t="s">
        <v>1211</v>
      </c>
      <c r="C639" s="5">
        <v>41489</v>
      </c>
      <c r="D639" s="5">
        <v>41549</v>
      </c>
      <c r="E639" s="4" t="s">
        <v>7</v>
      </c>
      <c r="F639" s="4" t="s">
        <v>808</v>
      </c>
    </row>
    <row r="640" spans="1:6" x14ac:dyDescent="0.25">
      <c r="A640" s="4" t="str">
        <f>CONCATENATE("3071-0000-0615","")</f>
        <v>3071-0000-0615</v>
      </c>
      <c r="B640" s="4" t="s">
        <v>764</v>
      </c>
      <c r="C640" s="5">
        <v>41489</v>
      </c>
      <c r="D640" s="5">
        <v>41549</v>
      </c>
      <c r="E640" s="4" t="s">
        <v>7</v>
      </c>
      <c r="F640" s="4" t="s">
        <v>7</v>
      </c>
    </row>
    <row r="641" spans="1:6" x14ac:dyDescent="0.25">
      <c r="A641" s="4" t="str">
        <f>CONCATENATE("3071-0000-3397","")</f>
        <v>3071-0000-3397</v>
      </c>
      <c r="B641" s="4" t="s">
        <v>1551</v>
      </c>
      <c r="C641" s="5">
        <v>41489</v>
      </c>
      <c r="D641" s="5">
        <v>41549</v>
      </c>
      <c r="E641" s="4" t="s">
        <v>1410</v>
      </c>
      <c r="F641" s="4" t="s">
        <v>1411</v>
      </c>
    </row>
    <row r="642" spans="1:6" x14ac:dyDescent="0.25">
      <c r="A642" s="4" t="str">
        <f>CONCATENATE("3071-0000-2377","")</f>
        <v>3071-0000-2377</v>
      </c>
      <c r="B642" s="4" t="s">
        <v>3204</v>
      </c>
      <c r="C642" s="5">
        <v>41489</v>
      </c>
      <c r="D642" s="5">
        <v>41549</v>
      </c>
      <c r="E642" s="4" t="s">
        <v>2944</v>
      </c>
      <c r="F642" s="4" t="s">
        <v>3164</v>
      </c>
    </row>
    <row r="643" spans="1:6" x14ac:dyDescent="0.25">
      <c r="A643" s="4" t="str">
        <f>CONCATENATE("3071-0000-2605","")</f>
        <v>3071-0000-2605</v>
      </c>
      <c r="B643" s="4" t="s">
        <v>3681</v>
      </c>
      <c r="C643" s="5">
        <v>41489</v>
      </c>
      <c r="D643" s="5">
        <v>41549</v>
      </c>
      <c r="E643" s="4" t="s">
        <v>2944</v>
      </c>
      <c r="F643" s="4" t="s">
        <v>3164</v>
      </c>
    </row>
    <row r="644" spans="1:6" x14ac:dyDescent="0.25">
      <c r="A644" s="4" t="str">
        <f>CONCATENATE("3071-0000-3148","")</f>
        <v>3071-0000-3148</v>
      </c>
      <c r="B644" s="4" t="s">
        <v>1267</v>
      </c>
      <c r="C644" s="5">
        <v>41489</v>
      </c>
      <c r="D644" s="5">
        <v>41549</v>
      </c>
      <c r="E644" s="4" t="s">
        <v>7</v>
      </c>
      <c r="F644" s="4" t="s">
        <v>808</v>
      </c>
    </row>
    <row r="645" spans="1:6" x14ac:dyDescent="0.25">
      <c r="A645" s="4" t="str">
        <f>CONCATENATE("3071-0000-5234","")</f>
        <v>3071-0000-5234</v>
      </c>
      <c r="B645" s="4" t="s">
        <v>6685</v>
      </c>
      <c r="C645" s="5">
        <v>41489</v>
      </c>
      <c r="D645" s="5">
        <v>41549</v>
      </c>
      <c r="E645" s="4" t="s">
        <v>5185</v>
      </c>
      <c r="F645" s="4" t="s">
        <v>5185</v>
      </c>
    </row>
    <row r="646" spans="1:6" x14ac:dyDescent="0.25">
      <c r="A646" s="4" t="str">
        <f>CONCATENATE("3071-0000-7689","")</f>
        <v>3071-0000-7689</v>
      </c>
      <c r="B646" s="4" t="s">
        <v>4854</v>
      </c>
      <c r="C646" s="5">
        <v>41489</v>
      </c>
      <c r="D646" s="5">
        <v>41549</v>
      </c>
      <c r="E646" s="4" t="s">
        <v>1410</v>
      </c>
      <c r="F646" s="4" t="s">
        <v>4655</v>
      </c>
    </row>
    <row r="647" spans="1:6" x14ac:dyDescent="0.25">
      <c r="A647" s="4" t="str">
        <f>CONCATENATE("3071-0000-9516","")</f>
        <v>3071-0000-9516</v>
      </c>
      <c r="B647" s="4" t="s">
        <v>8275</v>
      </c>
      <c r="C647" s="5">
        <v>41489</v>
      </c>
      <c r="D647" s="5">
        <v>41549</v>
      </c>
      <c r="E647" s="4" t="s">
        <v>1410</v>
      </c>
      <c r="F647" s="4" t="s">
        <v>7967</v>
      </c>
    </row>
    <row r="648" spans="1:6" x14ac:dyDescent="0.25">
      <c r="A648" s="4" t="str">
        <f>CONCATENATE("3071-0000-7347","")</f>
        <v>3071-0000-7347</v>
      </c>
      <c r="B648" s="4" t="s">
        <v>4856</v>
      </c>
      <c r="C648" s="5">
        <v>41489</v>
      </c>
      <c r="D648" s="5">
        <v>41549</v>
      </c>
      <c r="E648" s="4" t="s">
        <v>1410</v>
      </c>
      <c r="F648" s="4" t="s">
        <v>1410</v>
      </c>
    </row>
    <row r="649" spans="1:6" x14ac:dyDescent="0.25">
      <c r="A649" s="4" t="str">
        <f>CONCATENATE("3071-0000-3487","")</f>
        <v>3071-0000-3487</v>
      </c>
      <c r="B649" s="4" t="s">
        <v>1781</v>
      </c>
      <c r="C649" s="5">
        <v>41489</v>
      </c>
      <c r="D649" s="5">
        <v>41549</v>
      </c>
      <c r="E649" s="4" t="s">
        <v>1410</v>
      </c>
      <c r="F649" s="4" t="s">
        <v>1411</v>
      </c>
    </row>
    <row r="650" spans="1:6" x14ac:dyDescent="0.25">
      <c r="A650" s="4" t="str">
        <f>CONCATENATE("3071-0000-6465","")</f>
        <v>3071-0000-6465</v>
      </c>
      <c r="B650" s="4" t="s">
        <v>8108</v>
      </c>
      <c r="C650" s="5">
        <v>41489</v>
      </c>
      <c r="D650" s="5">
        <v>41549</v>
      </c>
      <c r="E650" s="4" t="s">
        <v>5185</v>
      </c>
      <c r="F650" s="4" t="s">
        <v>5185</v>
      </c>
    </row>
    <row r="651" spans="1:6" x14ac:dyDescent="0.25">
      <c r="A651" s="4" t="str">
        <f>CONCATENATE("3071-0000-9292","")</f>
        <v>3071-0000-9292</v>
      </c>
      <c r="B651" s="4" t="s">
        <v>8299</v>
      </c>
      <c r="C651" s="5">
        <v>41489</v>
      </c>
      <c r="D651" s="5">
        <v>41549</v>
      </c>
      <c r="E651" s="4" t="s">
        <v>5185</v>
      </c>
      <c r="F651" s="4" t="s">
        <v>5185</v>
      </c>
    </row>
    <row r="652" spans="1:6" x14ac:dyDescent="0.25">
      <c r="A652" s="4" t="str">
        <f>CONCATENATE("3071-0000-6674","")</f>
        <v>3071-0000-6674</v>
      </c>
      <c r="B652" s="4" t="s">
        <v>8027</v>
      </c>
      <c r="C652" s="5">
        <v>41489</v>
      </c>
      <c r="D652" s="5">
        <v>41549</v>
      </c>
      <c r="E652" s="4" t="s">
        <v>5185</v>
      </c>
      <c r="F652" s="4" t="s">
        <v>5185</v>
      </c>
    </row>
    <row r="653" spans="1:6" x14ac:dyDescent="0.25">
      <c r="A653" s="4" t="str">
        <f>CONCATENATE("3071-0000-6693","")</f>
        <v>3071-0000-6693</v>
      </c>
      <c r="B653" s="4" t="s">
        <v>8035</v>
      </c>
      <c r="C653" s="5">
        <v>41489</v>
      </c>
      <c r="D653" s="5">
        <v>41549</v>
      </c>
      <c r="E653" s="4" t="s">
        <v>5185</v>
      </c>
      <c r="F653" s="4" t="s">
        <v>5185</v>
      </c>
    </row>
    <row r="654" spans="1:6" x14ac:dyDescent="0.25">
      <c r="A654" s="4" t="str">
        <f>CONCATENATE("3071-0000-6275","")</f>
        <v>3071-0000-6275</v>
      </c>
      <c r="B654" s="4" t="s">
        <v>7077</v>
      </c>
      <c r="C654" s="5">
        <v>41489</v>
      </c>
      <c r="D654" s="5">
        <v>41549</v>
      </c>
      <c r="E654" s="4" t="s">
        <v>7069</v>
      </c>
      <c r="F654" s="4" t="s">
        <v>7070</v>
      </c>
    </row>
    <row r="655" spans="1:6" x14ac:dyDescent="0.25">
      <c r="A655" s="4" t="str">
        <f>CONCATENATE("3071-0000-4757","")</f>
        <v>3071-0000-4757</v>
      </c>
      <c r="B655" s="4" t="s">
        <v>9035</v>
      </c>
      <c r="C655" s="5">
        <v>41489</v>
      </c>
      <c r="D655" s="5">
        <v>41549</v>
      </c>
      <c r="E655" s="4" t="s">
        <v>1410</v>
      </c>
      <c r="F655" s="4" t="s">
        <v>8696</v>
      </c>
    </row>
    <row r="656" spans="1:6" x14ac:dyDescent="0.25">
      <c r="A656" s="4" t="str">
        <f>CONCATENATE("3071-0000-4449","")</f>
        <v>3071-0000-4449</v>
      </c>
      <c r="B656" s="4" t="s">
        <v>9328</v>
      </c>
      <c r="C656" s="5">
        <v>41489</v>
      </c>
      <c r="D656" s="5">
        <v>41549</v>
      </c>
      <c r="E656" s="4" t="s">
        <v>7069</v>
      </c>
      <c r="F656" s="4" t="s">
        <v>9210</v>
      </c>
    </row>
    <row r="657" spans="1:6" x14ac:dyDescent="0.25">
      <c r="A657" s="4" t="str">
        <f>CONCATENATE("3071-0000-3794","")</f>
        <v>3071-0000-3794</v>
      </c>
      <c r="B657" s="4" t="s">
        <v>3831</v>
      </c>
      <c r="C657" s="5">
        <v>41489</v>
      </c>
      <c r="D657" s="5">
        <v>41549</v>
      </c>
      <c r="E657" s="4" t="s">
        <v>7</v>
      </c>
      <c r="F657" s="4" t="s">
        <v>3818</v>
      </c>
    </row>
    <row r="658" spans="1:6" x14ac:dyDescent="0.25">
      <c r="A658" s="4" t="str">
        <f>CONCATENATE("3071-0000-4758","")</f>
        <v>3071-0000-4758</v>
      </c>
      <c r="B658" s="4" t="s">
        <v>9027</v>
      </c>
      <c r="C658" s="5">
        <v>41489</v>
      </c>
      <c r="D658" s="5">
        <v>41549</v>
      </c>
      <c r="E658" s="4" t="s">
        <v>1410</v>
      </c>
      <c r="F658" s="4" t="s">
        <v>8696</v>
      </c>
    </row>
    <row r="659" spans="1:6" x14ac:dyDescent="0.25">
      <c r="A659" s="4" t="str">
        <f>CONCATENATE("3071-0000-2991","")</f>
        <v>3071-0000-2991</v>
      </c>
      <c r="B659" s="4" t="s">
        <v>1216</v>
      </c>
      <c r="C659" s="5">
        <v>41489</v>
      </c>
      <c r="D659" s="5">
        <v>41549</v>
      </c>
      <c r="E659" s="4" t="s">
        <v>7</v>
      </c>
      <c r="F659" s="4" t="s">
        <v>808</v>
      </c>
    </row>
    <row r="660" spans="1:6" x14ac:dyDescent="0.25">
      <c r="A660" s="4" t="str">
        <f>CONCATENATE("3071-0000-2253","")</f>
        <v>3071-0000-2253</v>
      </c>
      <c r="B660" s="4" t="s">
        <v>3808</v>
      </c>
      <c r="C660" s="5">
        <v>41489</v>
      </c>
      <c r="D660" s="5">
        <v>41549</v>
      </c>
      <c r="E660" s="4" t="s">
        <v>2944</v>
      </c>
      <c r="F660" s="4" t="s">
        <v>2945</v>
      </c>
    </row>
    <row r="661" spans="1:6" x14ac:dyDescent="0.25">
      <c r="A661" s="4" t="str">
        <f>CONCATENATE("3071-0000-3940","")</f>
        <v>3071-0000-3940</v>
      </c>
      <c r="B661" s="4" t="s">
        <v>4084</v>
      </c>
      <c r="C661" s="5">
        <v>41489</v>
      </c>
      <c r="D661" s="5">
        <v>41549</v>
      </c>
      <c r="E661" s="4" t="s">
        <v>1381</v>
      </c>
      <c r="F661" s="4" t="s">
        <v>4057</v>
      </c>
    </row>
    <row r="662" spans="1:6" x14ac:dyDescent="0.25">
      <c r="A662" s="4" t="str">
        <f>CONCATENATE("3071-0000-1725","")</f>
        <v>3071-0000-1725</v>
      </c>
      <c r="B662" s="4" t="s">
        <v>2526</v>
      </c>
      <c r="C662" s="5">
        <v>41489</v>
      </c>
      <c r="D662" s="5">
        <v>41549</v>
      </c>
      <c r="E662" s="4" t="s">
        <v>1381</v>
      </c>
      <c r="F662" s="4" t="s">
        <v>2303</v>
      </c>
    </row>
    <row r="663" spans="1:6" x14ac:dyDescent="0.25">
      <c r="A663" s="4" t="str">
        <f>CONCATENATE("3071-0000-4649","")</f>
        <v>3071-0000-4649</v>
      </c>
      <c r="B663" s="4" t="s">
        <v>9397</v>
      </c>
      <c r="C663" s="5">
        <v>41489</v>
      </c>
      <c r="D663" s="5">
        <v>41549</v>
      </c>
      <c r="E663" s="4" t="s">
        <v>1410</v>
      </c>
      <c r="F663" s="4" t="s">
        <v>8696</v>
      </c>
    </row>
    <row r="664" spans="1:6" x14ac:dyDescent="0.25">
      <c r="A664" s="4" t="str">
        <f>CONCATENATE("3071-0000-8537","")</f>
        <v>3071-0000-8537</v>
      </c>
      <c r="B664" s="4" t="s">
        <v>6134</v>
      </c>
      <c r="C664" s="5">
        <v>41489</v>
      </c>
      <c r="D664" s="5">
        <v>41549</v>
      </c>
      <c r="E664" s="4" t="s">
        <v>5185</v>
      </c>
      <c r="F664" s="4" t="s">
        <v>5945</v>
      </c>
    </row>
    <row r="665" spans="1:6" x14ac:dyDescent="0.25">
      <c r="A665" s="4" t="str">
        <f>CONCATENATE("3071-0000-0433","")</f>
        <v>3071-0000-0433</v>
      </c>
      <c r="B665" s="4" t="s">
        <v>210</v>
      </c>
      <c r="C665" s="5">
        <v>41489</v>
      </c>
      <c r="D665" s="5">
        <v>41549</v>
      </c>
      <c r="E665" s="4" t="s">
        <v>7</v>
      </c>
      <c r="F665" s="4" t="s">
        <v>7</v>
      </c>
    </row>
    <row r="666" spans="1:6" x14ac:dyDescent="0.25">
      <c r="A666" s="4" t="str">
        <f>CONCATENATE("3071-0000-1234","")</f>
        <v>3071-0000-1234</v>
      </c>
      <c r="B666" s="4" t="s">
        <v>2062</v>
      </c>
      <c r="C666" s="5">
        <v>41489</v>
      </c>
      <c r="D666" s="5">
        <v>41549</v>
      </c>
      <c r="E666" s="4" t="s">
        <v>1857</v>
      </c>
      <c r="F666" s="4" t="s">
        <v>2056</v>
      </c>
    </row>
    <row r="667" spans="1:6" x14ac:dyDescent="0.25">
      <c r="A667" s="4" t="str">
        <f>CONCATENATE("3071-0000-5808","")</f>
        <v>3071-0000-5808</v>
      </c>
      <c r="B667" s="4" t="s">
        <v>7034</v>
      </c>
      <c r="C667" s="5">
        <v>41489</v>
      </c>
      <c r="D667" s="5">
        <v>41549</v>
      </c>
      <c r="E667" s="4" t="s">
        <v>5185</v>
      </c>
      <c r="F667" s="4" t="s">
        <v>5185</v>
      </c>
    </row>
    <row r="668" spans="1:6" x14ac:dyDescent="0.25">
      <c r="A668" s="4" t="str">
        <f>CONCATENATE("3071-0000-1429","")</f>
        <v>3071-0000-1429</v>
      </c>
      <c r="B668" s="4" t="s">
        <v>2658</v>
      </c>
      <c r="C668" s="5">
        <v>41489</v>
      </c>
      <c r="D668" s="5">
        <v>41549</v>
      </c>
      <c r="E668" s="4" t="s">
        <v>1381</v>
      </c>
      <c r="F668" s="4" t="s">
        <v>2303</v>
      </c>
    </row>
    <row r="669" spans="1:6" x14ac:dyDescent="0.25">
      <c r="A669" s="4" t="str">
        <f>CONCATENATE("3071-0000-1357","")</f>
        <v>3071-0000-1357</v>
      </c>
      <c r="B669" s="4" t="s">
        <v>2504</v>
      </c>
      <c r="C669" s="5">
        <v>41489</v>
      </c>
      <c r="D669" s="5">
        <v>41549</v>
      </c>
      <c r="E669" s="4" t="s">
        <v>1381</v>
      </c>
      <c r="F669" s="4" t="s">
        <v>2303</v>
      </c>
    </row>
    <row r="670" spans="1:6" x14ac:dyDescent="0.25">
      <c r="A670" s="4" t="str">
        <f>CONCATENATE("3071-0000-4950","")</f>
        <v>3071-0000-4950</v>
      </c>
      <c r="B670" s="4" t="s">
        <v>9048</v>
      </c>
      <c r="C670" s="5">
        <v>41489</v>
      </c>
      <c r="D670" s="5">
        <v>41549</v>
      </c>
      <c r="E670" s="4" t="s">
        <v>7069</v>
      </c>
      <c r="F670" s="4" t="s">
        <v>8783</v>
      </c>
    </row>
    <row r="671" spans="1:6" x14ac:dyDescent="0.25">
      <c r="A671" s="4" t="str">
        <f>CONCATENATE("3071-0000-4466","")</f>
        <v>3071-0000-4466</v>
      </c>
      <c r="B671" s="4" t="s">
        <v>9351</v>
      </c>
      <c r="C671" s="5">
        <v>41489</v>
      </c>
      <c r="D671" s="5">
        <v>41549</v>
      </c>
      <c r="E671" s="4" t="s">
        <v>1410</v>
      </c>
      <c r="F671" s="4" t="s">
        <v>8696</v>
      </c>
    </row>
    <row r="672" spans="1:6" x14ac:dyDescent="0.25">
      <c r="A672" s="4" t="str">
        <f>CONCATENATE("3071-0000-0042","")</f>
        <v>3071-0000-0042</v>
      </c>
      <c r="B672" s="4" t="s">
        <v>78</v>
      </c>
      <c r="C672" s="5">
        <v>41489</v>
      </c>
      <c r="D672" s="5">
        <v>41549</v>
      </c>
      <c r="E672" s="4" t="s">
        <v>7</v>
      </c>
      <c r="F672" s="4" t="s">
        <v>7</v>
      </c>
    </row>
    <row r="673" spans="1:6" x14ac:dyDescent="0.25">
      <c r="A673" s="4" t="str">
        <f>CONCATENATE("3071-0000-4409","")</f>
        <v>3071-0000-4409</v>
      </c>
      <c r="B673" s="4" t="s">
        <v>9270</v>
      </c>
      <c r="C673" s="5">
        <v>41489</v>
      </c>
      <c r="D673" s="5">
        <v>41549</v>
      </c>
      <c r="E673" s="4" t="s">
        <v>1410</v>
      </c>
      <c r="F673" s="4" t="s">
        <v>8696</v>
      </c>
    </row>
    <row r="674" spans="1:6" x14ac:dyDescent="0.25">
      <c r="A674" s="4" t="str">
        <f>CONCATENATE("3071-0000-0279","")</f>
        <v>3071-0000-0279</v>
      </c>
      <c r="B674" s="4" t="s">
        <v>670</v>
      </c>
      <c r="C674" s="5">
        <v>41489</v>
      </c>
      <c r="D674" s="5">
        <v>41549</v>
      </c>
      <c r="E674" s="4" t="s">
        <v>7</v>
      </c>
      <c r="F674" s="4" t="s">
        <v>7</v>
      </c>
    </row>
    <row r="675" spans="1:6" x14ac:dyDescent="0.25">
      <c r="A675" s="4" t="str">
        <f>CONCATENATE("3071-0000-4759","")</f>
        <v>3071-0000-4759</v>
      </c>
      <c r="B675" s="4" t="s">
        <v>9044</v>
      </c>
      <c r="C675" s="5">
        <v>41489</v>
      </c>
      <c r="D675" s="5">
        <v>41549</v>
      </c>
      <c r="E675" s="4" t="s">
        <v>1410</v>
      </c>
      <c r="F675" s="4" t="s">
        <v>8696</v>
      </c>
    </row>
    <row r="676" spans="1:6" x14ac:dyDescent="0.25">
      <c r="A676" s="4" t="str">
        <f>CONCATENATE("3071-0000-4994","")</f>
        <v>3071-0000-4994</v>
      </c>
      <c r="B676" s="4" t="s">
        <v>9284</v>
      </c>
      <c r="C676" s="5">
        <v>41489</v>
      </c>
      <c r="D676" s="5">
        <v>41549</v>
      </c>
      <c r="E676" s="4" t="s">
        <v>7069</v>
      </c>
      <c r="F676" s="4" t="s">
        <v>9210</v>
      </c>
    </row>
    <row r="677" spans="1:6" x14ac:dyDescent="0.25">
      <c r="A677" s="4" t="str">
        <f>CONCATENATE("3071-0000-4450","")</f>
        <v>3071-0000-4450</v>
      </c>
      <c r="B677" s="4" t="s">
        <v>9330</v>
      </c>
      <c r="C677" s="5">
        <v>41489</v>
      </c>
      <c r="D677" s="5">
        <v>41549</v>
      </c>
      <c r="E677" s="4" t="s">
        <v>1410</v>
      </c>
      <c r="F677" s="4" t="s">
        <v>8696</v>
      </c>
    </row>
    <row r="678" spans="1:6" x14ac:dyDescent="0.25">
      <c r="A678" s="4" t="str">
        <f>CONCATENATE("3071-0000-3423","")</f>
        <v>3071-0000-3423</v>
      </c>
      <c r="B678" s="4" t="s">
        <v>1610</v>
      </c>
      <c r="C678" s="5">
        <v>41489</v>
      </c>
      <c r="D678" s="5">
        <v>41549</v>
      </c>
      <c r="E678" s="4" t="s">
        <v>1410</v>
      </c>
      <c r="F678" s="4" t="s">
        <v>1411</v>
      </c>
    </row>
    <row r="679" spans="1:6" x14ac:dyDescent="0.25">
      <c r="A679" s="4" t="str">
        <f>CONCATENATE("3071-0000-1019","")</f>
        <v>3071-0000-1019</v>
      </c>
      <c r="B679" s="4" t="s">
        <v>2005</v>
      </c>
      <c r="C679" s="5">
        <v>41489</v>
      </c>
      <c r="D679" s="5">
        <v>41549</v>
      </c>
      <c r="E679" s="4" t="s">
        <v>1857</v>
      </c>
      <c r="F679" s="4" t="s">
        <v>1857</v>
      </c>
    </row>
    <row r="680" spans="1:6" x14ac:dyDescent="0.25">
      <c r="A680" s="4" t="str">
        <f>CONCATENATE("3071-0000-3544","")</f>
        <v>3071-0000-3544</v>
      </c>
      <c r="B680" s="4" t="s">
        <v>1707</v>
      </c>
      <c r="C680" s="5">
        <v>41489</v>
      </c>
      <c r="D680" s="5">
        <v>41549</v>
      </c>
      <c r="E680" s="4" t="s">
        <v>1410</v>
      </c>
      <c r="F680" s="4" t="s">
        <v>1411</v>
      </c>
    </row>
    <row r="681" spans="1:6" x14ac:dyDescent="0.25">
      <c r="A681" s="4" t="str">
        <f>CONCATENATE("3071-0000-9368","")</f>
        <v>3071-0000-9368</v>
      </c>
      <c r="B681" s="4" t="s">
        <v>8626</v>
      </c>
      <c r="C681" s="5">
        <v>41489</v>
      </c>
      <c r="D681" s="5">
        <v>41549</v>
      </c>
      <c r="E681" s="4" t="s">
        <v>1410</v>
      </c>
      <c r="F681" s="4" t="s">
        <v>4459</v>
      </c>
    </row>
    <row r="682" spans="1:6" x14ac:dyDescent="0.25">
      <c r="A682" s="4" t="str">
        <f>CONCATENATE("3071-0000-6089","")</f>
        <v>3071-0000-6089</v>
      </c>
      <c r="B682" s="4" t="s">
        <v>7037</v>
      </c>
      <c r="C682" s="5">
        <v>41489</v>
      </c>
      <c r="D682" s="5">
        <v>41549</v>
      </c>
      <c r="E682" s="4" t="s">
        <v>1410</v>
      </c>
      <c r="F682" s="4" t="s">
        <v>6798</v>
      </c>
    </row>
    <row r="683" spans="1:6" x14ac:dyDescent="0.25">
      <c r="A683" s="4" t="str">
        <f>CONCATENATE("3071-0000-9556","")</f>
        <v>3071-0000-9556</v>
      </c>
      <c r="B683" s="4" t="s">
        <v>8653</v>
      </c>
      <c r="C683" s="5">
        <v>41489</v>
      </c>
      <c r="D683" s="5">
        <v>41549</v>
      </c>
      <c r="E683" s="4" t="s">
        <v>1410</v>
      </c>
      <c r="F683" s="4" t="s">
        <v>4459</v>
      </c>
    </row>
    <row r="684" spans="1:6" x14ac:dyDescent="0.25">
      <c r="A684" s="4" t="str">
        <f>CONCATENATE("3071-0000-3073","")</f>
        <v>3071-0000-3073</v>
      </c>
      <c r="B684" s="4" t="s">
        <v>1208</v>
      </c>
      <c r="C684" s="5">
        <v>41489</v>
      </c>
      <c r="D684" s="5">
        <v>41549</v>
      </c>
      <c r="E684" s="4" t="s">
        <v>7</v>
      </c>
      <c r="F684" s="4" t="s">
        <v>808</v>
      </c>
    </row>
    <row r="685" spans="1:6" x14ac:dyDescent="0.25">
      <c r="A685" s="4" t="str">
        <f>CONCATENATE("3071-0000-8539","")</f>
        <v>3071-0000-8539</v>
      </c>
      <c r="B685" s="4" t="s">
        <v>6138</v>
      </c>
      <c r="C685" s="5">
        <v>41489</v>
      </c>
      <c r="D685" s="5">
        <v>41549</v>
      </c>
      <c r="E685" s="4" t="s">
        <v>5185</v>
      </c>
      <c r="F685" s="4" t="s">
        <v>5945</v>
      </c>
    </row>
    <row r="686" spans="1:6" x14ac:dyDescent="0.25">
      <c r="A686" s="4" t="str">
        <f>CONCATENATE("3071-0000-3490","")</f>
        <v>3071-0000-3490</v>
      </c>
      <c r="B686" s="4" t="s">
        <v>1785</v>
      </c>
      <c r="C686" s="5">
        <v>41489</v>
      </c>
      <c r="D686" s="5">
        <v>41549</v>
      </c>
      <c r="E686" s="4" t="s">
        <v>1410</v>
      </c>
      <c r="F686" s="4" t="s">
        <v>1411</v>
      </c>
    </row>
    <row r="687" spans="1:6" x14ac:dyDescent="0.25">
      <c r="A687" s="4" t="str">
        <f>CONCATENATE("3071-0000-5725","")</f>
        <v>3071-0000-5725</v>
      </c>
      <c r="B687" s="4" t="s">
        <v>7439</v>
      </c>
      <c r="C687" s="5">
        <v>41489</v>
      </c>
      <c r="D687" s="5">
        <v>41549</v>
      </c>
      <c r="E687" s="4" t="s">
        <v>5185</v>
      </c>
      <c r="F687" s="4" t="s">
        <v>5185</v>
      </c>
    </row>
    <row r="688" spans="1:6" x14ac:dyDescent="0.25">
      <c r="A688" s="4" t="str">
        <f>CONCATENATE("3071-0000-6890","")</f>
        <v>3071-0000-6890</v>
      </c>
      <c r="B688" s="4" t="s">
        <v>4623</v>
      </c>
      <c r="C688" s="5">
        <v>41489</v>
      </c>
      <c r="D688" s="5">
        <v>41549</v>
      </c>
      <c r="E688" s="4" t="s">
        <v>1410</v>
      </c>
      <c r="F688" s="4" t="s">
        <v>1410</v>
      </c>
    </row>
    <row r="689" spans="1:6" x14ac:dyDescent="0.25">
      <c r="A689" s="4" t="str">
        <f>CONCATENATE("3071-0000-3483","")</f>
        <v>3071-0000-3483</v>
      </c>
      <c r="B689" s="4" t="s">
        <v>1776</v>
      </c>
      <c r="C689" s="5">
        <v>41489</v>
      </c>
      <c r="D689" s="5">
        <v>41549</v>
      </c>
      <c r="E689" s="4" t="s">
        <v>1410</v>
      </c>
      <c r="F689" s="4" t="s">
        <v>1411</v>
      </c>
    </row>
    <row r="690" spans="1:6" x14ac:dyDescent="0.25">
      <c r="A690" s="4" t="str">
        <f>CONCATENATE("3071-0000-9533","")</f>
        <v>3071-0000-9533</v>
      </c>
      <c r="B690" s="4" t="s">
        <v>8648</v>
      </c>
      <c r="C690" s="5">
        <v>41489</v>
      </c>
      <c r="D690" s="5">
        <v>41549</v>
      </c>
      <c r="E690" s="4" t="s">
        <v>1410</v>
      </c>
      <c r="F690" s="4" t="s">
        <v>4459</v>
      </c>
    </row>
    <row r="691" spans="1:6" x14ac:dyDescent="0.25">
      <c r="A691" s="4" t="str">
        <f>CONCATENATE("3071-0000-5379","")</f>
        <v>3071-0000-5379</v>
      </c>
      <c r="B691" s="4" t="s">
        <v>6826</v>
      </c>
      <c r="C691" s="5">
        <v>41489</v>
      </c>
      <c r="D691" s="5">
        <v>41549</v>
      </c>
      <c r="E691" s="4" t="s">
        <v>1410</v>
      </c>
      <c r="F691" s="4" t="s">
        <v>6635</v>
      </c>
    </row>
    <row r="692" spans="1:6" x14ac:dyDescent="0.25">
      <c r="A692" s="4" t="str">
        <f>CONCATENATE("3071-0000-6756","")</f>
        <v>3071-0000-6756</v>
      </c>
      <c r="B692" s="4" t="s">
        <v>8052</v>
      </c>
      <c r="C692" s="5">
        <v>41489</v>
      </c>
      <c r="D692" s="5">
        <v>41549</v>
      </c>
      <c r="E692" s="4" t="s">
        <v>1410</v>
      </c>
      <c r="F692" s="4" t="s">
        <v>4655</v>
      </c>
    </row>
    <row r="693" spans="1:6" x14ac:dyDescent="0.25">
      <c r="A693" s="4" t="str">
        <f>CONCATENATE("3071-0000-7676","")</f>
        <v>3071-0000-7676</v>
      </c>
      <c r="B693" s="4" t="s">
        <v>4806</v>
      </c>
      <c r="C693" s="5">
        <v>41489</v>
      </c>
      <c r="D693" s="5">
        <v>41549</v>
      </c>
      <c r="E693" s="4" t="s">
        <v>1410</v>
      </c>
      <c r="F693" s="4" t="s">
        <v>4655</v>
      </c>
    </row>
    <row r="694" spans="1:6" x14ac:dyDescent="0.25">
      <c r="A694" s="4" t="str">
        <f>CONCATENATE("3071-0000-3191","")</f>
        <v>3071-0000-3191</v>
      </c>
      <c r="B694" s="4" t="s">
        <v>1271</v>
      </c>
      <c r="C694" s="5">
        <v>41489</v>
      </c>
      <c r="D694" s="5">
        <v>41549</v>
      </c>
      <c r="E694" s="4" t="s">
        <v>7</v>
      </c>
      <c r="F694" s="4" t="s">
        <v>808</v>
      </c>
    </row>
    <row r="695" spans="1:6" x14ac:dyDescent="0.25">
      <c r="A695" s="4" t="str">
        <f>CONCATENATE("3071-0000-1207","")</f>
        <v>3071-0000-1207</v>
      </c>
      <c r="B695" s="4" t="s">
        <v>2063</v>
      </c>
      <c r="C695" s="5">
        <v>41489</v>
      </c>
      <c r="D695" s="5">
        <v>41549</v>
      </c>
      <c r="E695" s="4" t="s">
        <v>1857</v>
      </c>
      <c r="F695" s="4" t="s">
        <v>2056</v>
      </c>
    </row>
    <row r="696" spans="1:6" x14ac:dyDescent="0.25">
      <c r="A696" s="4" t="str">
        <f>CONCATENATE("3071-0000-3533","")</f>
        <v>3071-0000-3533</v>
      </c>
      <c r="B696" s="4" t="s">
        <v>1471</v>
      </c>
      <c r="C696" s="5">
        <v>41489</v>
      </c>
      <c r="D696" s="5">
        <v>41549</v>
      </c>
      <c r="E696" s="4" t="s">
        <v>1410</v>
      </c>
      <c r="F696" s="4" t="s">
        <v>1411</v>
      </c>
    </row>
    <row r="697" spans="1:6" x14ac:dyDescent="0.25">
      <c r="A697" s="4" t="str">
        <f>CONCATENATE("3071-0000-3840","")</f>
        <v>3071-0000-3840</v>
      </c>
      <c r="B697" s="4" t="s">
        <v>3890</v>
      </c>
      <c r="C697" s="5">
        <v>41489</v>
      </c>
      <c r="D697" s="5">
        <v>41549</v>
      </c>
      <c r="E697" s="4" t="s">
        <v>2944</v>
      </c>
      <c r="F697" s="4" t="s">
        <v>3513</v>
      </c>
    </row>
    <row r="698" spans="1:6" x14ac:dyDescent="0.25">
      <c r="A698" s="4" t="str">
        <f>CONCATENATE("3071-0000-3957","")</f>
        <v>3071-0000-3957</v>
      </c>
      <c r="B698" s="4" t="s">
        <v>4179</v>
      </c>
      <c r="C698" s="5">
        <v>41489</v>
      </c>
      <c r="D698" s="5">
        <v>41549</v>
      </c>
      <c r="E698" s="4" t="s">
        <v>2944</v>
      </c>
      <c r="F698" s="4" t="s">
        <v>3513</v>
      </c>
    </row>
    <row r="699" spans="1:6" x14ac:dyDescent="0.25">
      <c r="A699" s="4" t="str">
        <f>CONCATENATE("3071-0000-1372","")</f>
        <v>3071-0000-1372</v>
      </c>
      <c r="B699" s="4" t="s">
        <v>2539</v>
      </c>
      <c r="C699" s="5">
        <v>41489</v>
      </c>
      <c r="D699" s="5">
        <v>41549</v>
      </c>
      <c r="E699" s="4" t="s">
        <v>1381</v>
      </c>
      <c r="F699" s="4" t="s">
        <v>2303</v>
      </c>
    </row>
    <row r="700" spans="1:6" x14ac:dyDescent="0.25">
      <c r="A700" s="4" t="str">
        <f>CONCATENATE("3071-0000-6857","")</f>
        <v>3071-0000-6857</v>
      </c>
      <c r="B700" s="4" t="s">
        <v>8183</v>
      </c>
      <c r="C700" s="5">
        <v>41489</v>
      </c>
      <c r="D700" s="5">
        <v>41549</v>
      </c>
      <c r="E700" s="4" t="s">
        <v>1410</v>
      </c>
      <c r="F700" s="4" t="s">
        <v>7967</v>
      </c>
    </row>
    <row r="701" spans="1:6" x14ac:dyDescent="0.25">
      <c r="A701" s="4" t="str">
        <f>CONCATENATE("3071-0000-1817","")</f>
        <v>3071-0000-1817</v>
      </c>
      <c r="B701" s="4" t="s">
        <v>2935</v>
      </c>
      <c r="C701" s="5">
        <v>41489</v>
      </c>
      <c r="D701" s="5">
        <v>41549</v>
      </c>
      <c r="E701" s="4" t="s">
        <v>1381</v>
      </c>
      <c r="F701" s="4" t="s">
        <v>2662</v>
      </c>
    </row>
    <row r="702" spans="1:6" x14ac:dyDescent="0.25">
      <c r="A702" s="4" t="str">
        <f>CONCATENATE("3071-0000-2112","")</f>
        <v>3071-0000-2112</v>
      </c>
      <c r="B702" s="4" t="s">
        <v>3101</v>
      </c>
      <c r="C702" s="5">
        <v>41489</v>
      </c>
      <c r="D702" s="5">
        <v>41549</v>
      </c>
      <c r="E702" s="4" t="s">
        <v>2944</v>
      </c>
      <c r="F702" s="4" t="s">
        <v>2945</v>
      </c>
    </row>
    <row r="703" spans="1:6" x14ac:dyDescent="0.25">
      <c r="A703" s="4" t="str">
        <f>CONCATENATE("3071-0000-0204","")</f>
        <v>3071-0000-0204</v>
      </c>
      <c r="B703" s="4" t="s">
        <v>439</v>
      </c>
      <c r="C703" s="5">
        <v>41489</v>
      </c>
      <c r="D703" s="5">
        <v>41549</v>
      </c>
      <c r="E703" s="4" t="s">
        <v>7</v>
      </c>
      <c r="F703" s="4" t="s">
        <v>7</v>
      </c>
    </row>
    <row r="704" spans="1:6" x14ac:dyDescent="0.25">
      <c r="A704" s="4" t="str">
        <f>CONCATENATE("3071-0000-1099","")</f>
        <v>3071-0000-1099</v>
      </c>
      <c r="B704" s="4" t="s">
        <v>2057</v>
      </c>
      <c r="C704" s="5">
        <v>41489</v>
      </c>
      <c r="D704" s="5">
        <v>41549</v>
      </c>
      <c r="E704" s="4" t="s">
        <v>1857</v>
      </c>
      <c r="F704" s="4" t="s">
        <v>2056</v>
      </c>
    </row>
    <row r="705" spans="1:6" x14ac:dyDescent="0.25">
      <c r="A705" s="4" t="str">
        <f>CONCATENATE("3071-0000-0330","")</f>
        <v>3071-0000-0330</v>
      </c>
      <c r="B705" s="4" t="s">
        <v>669</v>
      </c>
      <c r="C705" s="5">
        <v>41489</v>
      </c>
      <c r="D705" s="5">
        <v>41549</v>
      </c>
      <c r="E705" s="4" t="s">
        <v>7</v>
      </c>
      <c r="F705" s="4" t="s">
        <v>7</v>
      </c>
    </row>
    <row r="706" spans="1:6" x14ac:dyDescent="0.25">
      <c r="A706" s="4" t="str">
        <f>CONCATENATE("3071-0000-3475","")</f>
        <v>3071-0000-3475</v>
      </c>
      <c r="B706" s="4" t="s">
        <v>1767</v>
      </c>
      <c r="C706" s="5">
        <v>41489</v>
      </c>
      <c r="D706" s="5">
        <v>41549</v>
      </c>
      <c r="E706" s="4" t="s">
        <v>1410</v>
      </c>
      <c r="F706" s="4" t="s">
        <v>1411</v>
      </c>
    </row>
    <row r="707" spans="1:6" x14ac:dyDescent="0.25">
      <c r="A707" s="4" t="str">
        <f>CONCATENATE("3071-0000-3924","")</f>
        <v>3071-0000-3924</v>
      </c>
      <c r="B707" s="4" t="s">
        <v>4072</v>
      </c>
      <c r="C707" s="5">
        <v>41489</v>
      </c>
      <c r="D707" s="5">
        <v>41549</v>
      </c>
      <c r="E707" s="4" t="s">
        <v>1381</v>
      </c>
      <c r="F707" s="4" t="s">
        <v>4057</v>
      </c>
    </row>
    <row r="708" spans="1:6" x14ac:dyDescent="0.25">
      <c r="A708" s="4" t="str">
        <f>CONCATENATE("3071-0000-1456","")</f>
        <v>3071-0000-1456</v>
      </c>
      <c r="B708" s="4" t="s">
        <v>2894</v>
      </c>
      <c r="C708" s="5">
        <v>41489</v>
      </c>
      <c r="D708" s="5">
        <v>41549</v>
      </c>
      <c r="E708" s="4" t="s">
        <v>1381</v>
      </c>
      <c r="F708" s="4" t="s">
        <v>2303</v>
      </c>
    </row>
    <row r="709" spans="1:6" x14ac:dyDescent="0.25">
      <c r="A709" s="4" t="str">
        <f>CONCATENATE("3071-0000-6807","")</f>
        <v>3071-0000-6807</v>
      </c>
      <c r="B709" s="4" t="s">
        <v>8266</v>
      </c>
      <c r="C709" s="5">
        <v>41489</v>
      </c>
      <c r="D709" s="5">
        <v>41549</v>
      </c>
      <c r="E709" s="4" t="s">
        <v>1410</v>
      </c>
      <c r="F709" s="4" t="s">
        <v>7967</v>
      </c>
    </row>
    <row r="710" spans="1:6" x14ac:dyDescent="0.25">
      <c r="A710" s="4" t="str">
        <f>CONCATENATE("3071-0000-1822","")</f>
        <v>3071-0000-1822</v>
      </c>
      <c r="B710" s="4" t="s">
        <v>2710</v>
      </c>
      <c r="C710" s="5">
        <v>41489</v>
      </c>
      <c r="D710" s="5">
        <v>41549</v>
      </c>
      <c r="E710" s="4" t="s">
        <v>1381</v>
      </c>
      <c r="F710" s="4" t="s">
        <v>2662</v>
      </c>
    </row>
    <row r="711" spans="1:6" x14ac:dyDescent="0.25">
      <c r="A711" s="4" t="str">
        <f>CONCATENATE("3071-0000-3489","")</f>
        <v>3071-0000-3489</v>
      </c>
      <c r="B711" s="4" t="s">
        <v>1784</v>
      </c>
      <c r="C711" s="5">
        <v>41489</v>
      </c>
      <c r="D711" s="5">
        <v>41549</v>
      </c>
      <c r="E711" s="4" t="s">
        <v>1410</v>
      </c>
      <c r="F711" s="4" t="s">
        <v>1411</v>
      </c>
    </row>
    <row r="712" spans="1:6" x14ac:dyDescent="0.25">
      <c r="A712" s="4" t="str">
        <f>CONCATENATE("3071-0000-5794","")</f>
        <v>3071-0000-5794</v>
      </c>
      <c r="B712" s="4" t="s">
        <v>6978</v>
      </c>
      <c r="C712" s="5">
        <v>41489</v>
      </c>
      <c r="D712" s="5">
        <v>41549</v>
      </c>
      <c r="E712" s="4" t="s">
        <v>5185</v>
      </c>
      <c r="F712" s="4" t="s">
        <v>5185</v>
      </c>
    </row>
    <row r="713" spans="1:6" x14ac:dyDescent="0.25">
      <c r="A713" s="4" t="str">
        <f>CONCATENATE("3071-0000-0213","")</f>
        <v>3071-0000-0213</v>
      </c>
      <c r="B713" s="4" t="s">
        <v>456</v>
      </c>
      <c r="C713" s="5">
        <v>41489</v>
      </c>
      <c r="D713" s="5">
        <v>41549</v>
      </c>
      <c r="E713" s="4" t="s">
        <v>7</v>
      </c>
      <c r="F713" s="4" t="s">
        <v>7</v>
      </c>
    </row>
    <row r="714" spans="1:6" x14ac:dyDescent="0.25">
      <c r="A714" s="4" t="str">
        <f>CONCATENATE("3071-0000-4065","")</f>
        <v>3071-0000-4065</v>
      </c>
      <c r="B714" s="4" t="s">
        <v>3963</v>
      </c>
      <c r="C714" s="5">
        <v>41489</v>
      </c>
      <c r="D714" s="5">
        <v>41549</v>
      </c>
      <c r="E714" s="4" t="s">
        <v>7</v>
      </c>
      <c r="F714" s="4" t="s">
        <v>1419</v>
      </c>
    </row>
    <row r="715" spans="1:6" x14ac:dyDescent="0.25">
      <c r="A715" s="4" t="str">
        <f>CONCATENATE("3071-0000-3904","")</f>
        <v>3071-0000-3904</v>
      </c>
      <c r="B715" s="4" t="s">
        <v>4126</v>
      </c>
      <c r="C715" s="5">
        <v>41489</v>
      </c>
      <c r="D715" s="5">
        <v>41549</v>
      </c>
      <c r="E715" s="4" t="s">
        <v>2944</v>
      </c>
      <c r="F715" s="4" t="s">
        <v>3513</v>
      </c>
    </row>
    <row r="716" spans="1:6" x14ac:dyDescent="0.25">
      <c r="A716" s="4" t="str">
        <f>CONCATENATE("3071-0000-3980","")</f>
        <v>3071-0000-3980</v>
      </c>
      <c r="B716" s="4" t="s">
        <v>3811</v>
      </c>
      <c r="C716" s="5">
        <v>41489</v>
      </c>
      <c r="D716" s="5">
        <v>41549</v>
      </c>
      <c r="E716" s="4" t="s">
        <v>2944</v>
      </c>
      <c r="F716" s="4" t="s">
        <v>3513</v>
      </c>
    </row>
    <row r="717" spans="1:6" x14ac:dyDescent="0.25">
      <c r="A717" s="4" t="str">
        <f>CONCATENATE("3071-0000-5563","")</f>
        <v>3071-0000-5563</v>
      </c>
      <c r="B717" s="4" t="s">
        <v>7337</v>
      </c>
      <c r="C717" s="5">
        <v>41489</v>
      </c>
      <c r="D717" s="5">
        <v>41549</v>
      </c>
      <c r="E717" s="4" t="s">
        <v>5185</v>
      </c>
      <c r="F717" s="4" t="s">
        <v>5185</v>
      </c>
    </row>
    <row r="718" spans="1:6" x14ac:dyDescent="0.25">
      <c r="A718" s="4" t="str">
        <f>CONCATENATE("3071-0000-4066","")</f>
        <v>3071-0000-4066</v>
      </c>
      <c r="B718" s="4" t="s">
        <v>3964</v>
      </c>
      <c r="C718" s="5">
        <v>41489</v>
      </c>
      <c r="D718" s="5">
        <v>41549</v>
      </c>
      <c r="E718" s="4" t="s">
        <v>7</v>
      </c>
      <c r="F718" s="4" t="s">
        <v>1419</v>
      </c>
    </row>
    <row r="719" spans="1:6" x14ac:dyDescent="0.25">
      <c r="A719" s="4" t="str">
        <f>CONCATENATE("3071-0000-4978","")</f>
        <v>3071-0000-4978</v>
      </c>
      <c r="B719" s="4" t="s">
        <v>9432</v>
      </c>
      <c r="C719" s="5">
        <v>41489</v>
      </c>
      <c r="D719" s="5">
        <v>41549</v>
      </c>
      <c r="E719" s="4" t="s">
        <v>7069</v>
      </c>
      <c r="F719" s="4" t="s">
        <v>9210</v>
      </c>
    </row>
    <row r="720" spans="1:6" x14ac:dyDescent="0.25">
      <c r="A720" s="4" t="str">
        <f>CONCATENATE("3071-0000-4830","")</f>
        <v>3071-0000-4830</v>
      </c>
      <c r="B720" s="4" t="s">
        <v>9443</v>
      </c>
      <c r="C720" s="5">
        <v>41489</v>
      </c>
      <c r="D720" s="5">
        <v>41549</v>
      </c>
      <c r="E720" s="4" t="s">
        <v>1410</v>
      </c>
      <c r="F720" s="4" t="s">
        <v>8696</v>
      </c>
    </row>
    <row r="721" spans="1:6" x14ac:dyDescent="0.25">
      <c r="A721" s="4" t="str">
        <f>CONCATENATE("3071-0000-4624","")</f>
        <v>3071-0000-4624</v>
      </c>
      <c r="B721" s="4" t="s">
        <v>9475</v>
      </c>
      <c r="C721" s="5">
        <v>41489</v>
      </c>
      <c r="D721" s="5">
        <v>41549</v>
      </c>
      <c r="E721" s="4" t="s">
        <v>1410</v>
      </c>
      <c r="F721" s="4" t="s">
        <v>8696</v>
      </c>
    </row>
    <row r="722" spans="1:6" x14ac:dyDescent="0.25">
      <c r="A722" s="4" t="str">
        <f>CONCATENATE("3071-0000-4432","")</f>
        <v>3071-0000-4432</v>
      </c>
      <c r="B722" s="4" t="s">
        <v>9303</v>
      </c>
      <c r="C722" s="5">
        <v>41489</v>
      </c>
      <c r="D722" s="5">
        <v>41549</v>
      </c>
      <c r="E722" s="4" t="s">
        <v>7069</v>
      </c>
      <c r="F722" s="4" t="s">
        <v>9210</v>
      </c>
    </row>
    <row r="723" spans="1:6" x14ac:dyDescent="0.25">
      <c r="A723" s="4" t="str">
        <f>CONCATENATE("3071-0000-4807","")</f>
        <v>3071-0000-4807</v>
      </c>
      <c r="B723" s="4" t="s">
        <v>9412</v>
      </c>
      <c r="C723" s="5">
        <v>41489</v>
      </c>
      <c r="D723" s="5">
        <v>41549</v>
      </c>
      <c r="E723" s="4" t="s">
        <v>1410</v>
      </c>
      <c r="F723" s="4" t="s">
        <v>8696</v>
      </c>
    </row>
    <row r="724" spans="1:6" x14ac:dyDescent="0.25">
      <c r="A724" s="4" t="str">
        <f>CONCATENATE("3071-0000-3458","")</f>
        <v>3071-0000-3458</v>
      </c>
      <c r="B724" s="4" t="s">
        <v>1746</v>
      </c>
      <c r="C724" s="5">
        <v>41489</v>
      </c>
      <c r="D724" s="5">
        <v>41549</v>
      </c>
      <c r="E724" s="4" t="s">
        <v>1410</v>
      </c>
      <c r="F724" s="4" t="s">
        <v>1411</v>
      </c>
    </row>
    <row r="725" spans="1:6" x14ac:dyDescent="0.25">
      <c r="A725" s="4" t="str">
        <f>CONCATENATE("3071-0000-3523","")</f>
        <v>3071-0000-3523</v>
      </c>
      <c r="B725" s="4" t="s">
        <v>1844</v>
      </c>
      <c r="C725" s="5">
        <v>41489</v>
      </c>
      <c r="D725" s="5">
        <v>41549</v>
      </c>
      <c r="E725" s="4" t="s">
        <v>1410</v>
      </c>
      <c r="F725" s="4" t="s">
        <v>1411</v>
      </c>
    </row>
    <row r="726" spans="1:6" x14ac:dyDescent="0.25">
      <c r="A726" s="4" t="str">
        <f>CONCATENATE("3071-0000-4858","")</f>
        <v>3071-0000-4858</v>
      </c>
      <c r="B726" s="4" t="s">
        <v>9455</v>
      </c>
      <c r="C726" s="5">
        <v>41489</v>
      </c>
      <c r="D726" s="5">
        <v>41549</v>
      </c>
      <c r="E726" s="4" t="s">
        <v>7069</v>
      </c>
      <c r="F726" s="4" t="s">
        <v>9210</v>
      </c>
    </row>
    <row r="727" spans="1:6" x14ac:dyDescent="0.25">
      <c r="A727" s="4" t="str">
        <f>CONCATENATE("3071-0000-4860","")</f>
        <v>3071-0000-4860</v>
      </c>
      <c r="B727" s="4" t="s">
        <v>9454</v>
      </c>
      <c r="C727" s="5">
        <v>41489</v>
      </c>
      <c r="D727" s="5">
        <v>41549</v>
      </c>
      <c r="E727" s="4" t="s">
        <v>7069</v>
      </c>
      <c r="F727" s="4" t="s">
        <v>9210</v>
      </c>
    </row>
    <row r="728" spans="1:6" x14ac:dyDescent="0.25">
      <c r="A728" s="4" t="str">
        <f>CONCATENATE("3071-0000-3507","")</f>
        <v>3071-0000-3507</v>
      </c>
      <c r="B728" s="4" t="s">
        <v>1827</v>
      </c>
      <c r="C728" s="5">
        <v>41489</v>
      </c>
      <c r="D728" s="5">
        <v>41549</v>
      </c>
      <c r="E728" s="4" t="s">
        <v>1410</v>
      </c>
      <c r="F728" s="4" t="s">
        <v>1411</v>
      </c>
    </row>
    <row r="729" spans="1:6" x14ac:dyDescent="0.25">
      <c r="A729" s="4" t="str">
        <f>CONCATENATE("3071-0000-4076","")</f>
        <v>3071-0000-4076</v>
      </c>
      <c r="B729" s="4" t="s">
        <v>3959</v>
      </c>
      <c r="C729" s="5">
        <v>41489</v>
      </c>
      <c r="D729" s="5">
        <v>41549</v>
      </c>
      <c r="E729" s="4" t="s">
        <v>7</v>
      </c>
      <c r="F729" s="4" t="s">
        <v>1419</v>
      </c>
    </row>
    <row r="730" spans="1:6" x14ac:dyDescent="0.25">
      <c r="A730" s="4" t="str">
        <f>CONCATENATE("3071-0000-3899","")</f>
        <v>3071-0000-3899</v>
      </c>
      <c r="B730" s="4" t="s">
        <v>4119</v>
      </c>
      <c r="C730" s="5">
        <v>41489</v>
      </c>
      <c r="D730" s="5">
        <v>41549</v>
      </c>
      <c r="E730" s="4" t="s">
        <v>2944</v>
      </c>
      <c r="F730" s="4" t="s">
        <v>3513</v>
      </c>
    </row>
    <row r="731" spans="1:6" x14ac:dyDescent="0.25">
      <c r="A731" s="4" t="str">
        <f>CONCATENATE("3071-0000-5082","")</f>
        <v>3071-0000-5082</v>
      </c>
      <c r="B731" s="4" t="s">
        <v>9641</v>
      </c>
      <c r="C731" s="5">
        <v>41489</v>
      </c>
      <c r="D731" s="5">
        <v>41549</v>
      </c>
      <c r="E731" s="4" t="s">
        <v>7069</v>
      </c>
      <c r="F731" s="4" t="s">
        <v>9554</v>
      </c>
    </row>
    <row r="732" spans="1:6" x14ac:dyDescent="0.25">
      <c r="A732" s="4" t="str">
        <f>CONCATENATE("3071-0000-4816","")</f>
        <v>3071-0000-4816</v>
      </c>
      <c r="B732" s="4" t="s">
        <v>9588</v>
      </c>
      <c r="C732" s="5">
        <v>41489</v>
      </c>
      <c r="D732" s="5">
        <v>41549</v>
      </c>
      <c r="E732" s="4" t="s">
        <v>1410</v>
      </c>
      <c r="F732" s="4" t="s">
        <v>8696</v>
      </c>
    </row>
    <row r="733" spans="1:6" x14ac:dyDescent="0.25">
      <c r="A733" s="4" t="str">
        <f>CONCATENATE("3071-0000-4592","")</f>
        <v>3071-0000-4592</v>
      </c>
      <c r="B733" s="4" t="s">
        <v>9623</v>
      </c>
      <c r="C733" s="5">
        <v>41489</v>
      </c>
      <c r="D733" s="5">
        <v>41549</v>
      </c>
      <c r="E733" s="4" t="s">
        <v>1410</v>
      </c>
      <c r="F733" s="4" t="s">
        <v>8696</v>
      </c>
    </row>
    <row r="734" spans="1:6" x14ac:dyDescent="0.25">
      <c r="A734" s="4" t="str">
        <f>CONCATENATE("3071-0000-3306","")</f>
        <v>3071-0000-3306</v>
      </c>
      <c r="B734" s="4" t="s">
        <v>915</v>
      </c>
      <c r="C734" s="5">
        <v>41489</v>
      </c>
      <c r="D734" s="5">
        <v>41549</v>
      </c>
      <c r="E734" s="4" t="s">
        <v>7</v>
      </c>
      <c r="F734" s="4" t="s">
        <v>808</v>
      </c>
    </row>
    <row r="735" spans="1:6" x14ac:dyDescent="0.25">
      <c r="A735" s="4" t="str">
        <f>CONCATENATE("3071-0000-0153","")</f>
        <v>3071-0000-0153</v>
      </c>
      <c r="B735" s="4" t="s">
        <v>330</v>
      </c>
      <c r="C735" s="5">
        <v>41489</v>
      </c>
      <c r="D735" s="5">
        <v>41549</v>
      </c>
      <c r="E735" s="4" t="s">
        <v>7</v>
      </c>
      <c r="F735" s="4" t="s">
        <v>7</v>
      </c>
    </row>
    <row r="736" spans="1:6" x14ac:dyDescent="0.25">
      <c r="A736" s="4" t="str">
        <f>CONCATENATE("3071-0000-2781","")</f>
        <v>3071-0000-2781</v>
      </c>
      <c r="B736" s="4" t="s">
        <v>950</v>
      </c>
      <c r="C736" s="5">
        <v>41489</v>
      </c>
      <c r="D736" s="5">
        <v>41549</v>
      </c>
      <c r="E736" s="4" t="s">
        <v>7</v>
      </c>
      <c r="F736" s="4" t="s">
        <v>808</v>
      </c>
    </row>
    <row r="737" spans="1:6" x14ac:dyDescent="0.25">
      <c r="A737" s="4" t="str">
        <f>CONCATENATE("3071-0000-0440","")</f>
        <v>3071-0000-0440</v>
      </c>
      <c r="B737" s="4" t="s">
        <v>410</v>
      </c>
      <c r="C737" s="5">
        <v>41489</v>
      </c>
      <c r="D737" s="5">
        <v>41549</v>
      </c>
      <c r="E737" s="4" t="s">
        <v>7</v>
      </c>
      <c r="F737" s="4" t="s">
        <v>7</v>
      </c>
    </row>
    <row r="738" spans="1:6" x14ac:dyDescent="0.25">
      <c r="A738" s="4" t="str">
        <f>CONCATENATE("3071-0000-2908","")</f>
        <v>3071-0000-2908</v>
      </c>
      <c r="B738" s="4" t="s">
        <v>1083</v>
      </c>
      <c r="C738" s="5">
        <v>41489</v>
      </c>
      <c r="D738" s="5">
        <v>41549</v>
      </c>
      <c r="E738" s="4" t="s">
        <v>7</v>
      </c>
      <c r="F738" s="4" t="s">
        <v>808</v>
      </c>
    </row>
    <row r="739" spans="1:6" x14ac:dyDescent="0.25">
      <c r="A739" s="4" t="str">
        <f>CONCATENATE("3071-0000-3114","")</f>
        <v>3071-0000-3114</v>
      </c>
      <c r="B739" s="4" t="s">
        <v>1099</v>
      </c>
      <c r="C739" s="5">
        <v>41489</v>
      </c>
      <c r="D739" s="5">
        <v>41549</v>
      </c>
      <c r="E739" s="4" t="s">
        <v>7</v>
      </c>
      <c r="F739" s="4" t="s">
        <v>808</v>
      </c>
    </row>
    <row r="740" spans="1:6" x14ac:dyDescent="0.25">
      <c r="A740" s="4" t="str">
        <f>CONCATENATE("3071-0000-0126","")</f>
        <v>3071-0000-0126</v>
      </c>
      <c r="B740" s="4" t="s">
        <v>64</v>
      </c>
      <c r="C740" s="5">
        <v>41489</v>
      </c>
      <c r="D740" s="5">
        <v>41549</v>
      </c>
      <c r="E740" s="4" t="s">
        <v>7</v>
      </c>
      <c r="F740" s="4" t="s">
        <v>7</v>
      </c>
    </row>
    <row r="741" spans="1:6" x14ac:dyDescent="0.25">
      <c r="A741" s="4" t="str">
        <f>CONCATENATE("3071-0000-0445","")</f>
        <v>3071-0000-0445</v>
      </c>
      <c r="B741" s="4" t="s">
        <v>405</v>
      </c>
      <c r="C741" s="5">
        <v>41489</v>
      </c>
      <c r="D741" s="5">
        <v>41549</v>
      </c>
      <c r="E741" s="4" t="s">
        <v>7</v>
      </c>
      <c r="F741" s="4" t="s">
        <v>7</v>
      </c>
    </row>
    <row r="742" spans="1:6" x14ac:dyDescent="0.25">
      <c r="A742" s="4" t="str">
        <f>CONCATENATE("3071-0000-5011","")</f>
        <v>3071-0000-5011</v>
      </c>
      <c r="B742" s="4" t="s">
        <v>9312</v>
      </c>
      <c r="C742" s="5">
        <v>41489</v>
      </c>
      <c r="D742" s="5">
        <v>41549</v>
      </c>
      <c r="E742" s="4" t="s">
        <v>7069</v>
      </c>
      <c r="F742" s="4" t="s">
        <v>9210</v>
      </c>
    </row>
    <row r="743" spans="1:6" x14ac:dyDescent="0.25">
      <c r="A743" s="4" t="str">
        <f>CONCATENATE("3071-0000-8584","")</f>
        <v>3071-0000-8584</v>
      </c>
      <c r="B743" s="4" t="s">
        <v>6035</v>
      </c>
      <c r="C743" s="5">
        <v>41489</v>
      </c>
      <c r="D743" s="5">
        <v>41549</v>
      </c>
      <c r="E743" s="4" t="s">
        <v>5185</v>
      </c>
      <c r="F743" s="4" t="s">
        <v>5945</v>
      </c>
    </row>
    <row r="744" spans="1:6" x14ac:dyDescent="0.25">
      <c r="A744" s="4" t="str">
        <f>CONCATENATE("3071-0000-8652","")</f>
        <v>3071-0000-8652</v>
      </c>
      <c r="B744" s="4" t="s">
        <v>6423</v>
      </c>
      <c r="C744" s="5">
        <v>41489</v>
      </c>
      <c r="D744" s="5">
        <v>41549</v>
      </c>
      <c r="E744" s="4" t="s">
        <v>5185</v>
      </c>
      <c r="F744" s="4" t="s">
        <v>5292</v>
      </c>
    </row>
    <row r="745" spans="1:6" x14ac:dyDescent="0.25">
      <c r="A745" s="4" t="str">
        <f>CONCATENATE("3071-0000-8696","")</f>
        <v>3071-0000-8696</v>
      </c>
      <c r="B745" s="4" t="s">
        <v>6464</v>
      </c>
      <c r="C745" s="5">
        <v>41489</v>
      </c>
      <c r="D745" s="5">
        <v>41549</v>
      </c>
      <c r="E745" s="4" t="s">
        <v>5185</v>
      </c>
      <c r="F745" s="4" t="s">
        <v>5292</v>
      </c>
    </row>
    <row r="746" spans="1:6" x14ac:dyDescent="0.25">
      <c r="A746" s="4" t="str">
        <f>CONCATENATE("3071-0000-8677","")</f>
        <v>3071-0000-8677</v>
      </c>
      <c r="B746" s="4" t="s">
        <v>6387</v>
      </c>
      <c r="C746" s="5">
        <v>41489</v>
      </c>
      <c r="D746" s="5">
        <v>41549</v>
      </c>
      <c r="E746" s="4" t="s">
        <v>5185</v>
      </c>
      <c r="F746" s="4" t="s">
        <v>5292</v>
      </c>
    </row>
    <row r="747" spans="1:6" x14ac:dyDescent="0.25">
      <c r="A747" s="4" t="str">
        <f>CONCATENATE("3071-0000-8304","")</f>
        <v>3071-0000-8304</v>
      </c>
      <c r="B747" s="4" t="s">
        <v>6310</v>
      </c>
      <c r="C747" s="5">
        <v>41489</v>
      </c>
      <c r="D747" s="5">
        <v>41549</v>
      </c>
      <c r="E747" s="4" t="s">
        <v>5185</v>
      </c>
      <c r="F747" s="4" t="s">
        <v>5185</v>
      </c>
    </row>
    <row r="748" spans="1:6" x14ac:dyDescent="0.25">
      <c r="A748" s="4" t="str">
        <f>CONCATENATE("3071-0000-8814","")</f>
        <v>3071-0000-8814</v>
      </c>
      <c r="B748" s="4" t="s">
        <v>6606</v>
      </c>
      <c r="C748" s="5">
        <v>41489</v>
      </c>
      <c r="D748" s="5">
        <v>41549</v>
      </c>
      <c r="E748" s="4" t="s">
        <v>5185</v>
      </c>
      <c r="F748" s="4" t="s">
        <v>5292</v>
      </c>
    </row>
    <row r="749" spans="1:6" x14ac:dyDescent="0.25">
      <c r="A749" s="4" t="str">
        <f>CONCATENATE("3071-0000-8137","")</f>
        <v>3071-0000-8137</v>
      </c>
      <c r="B749" s="4" t="s">
        <v>5980</v>
      </c>
      <c r="C749" s="5">
        <v>41489</v>
      </c>
      <c r="D749" s="5">
        <v>41549</v>
      </c>
      <c r="E749" s="4" t="s">
        <v>5185</v>
      </c>
      <c r="F749" s="4" t="s">
        <v>5185</v>
      </c>
    </row>
    <row r="750" spans="1:6" x14ac:dyDescent="0.25">
      <c r="A750" s="4" t="str">
        <f>CONCATENATE("3071-0000-8828","")</f>
        <v>3071-0000-8828</v>
      </c>
      <c r="B750" s="4" t="s">
        <v>6574</v>
      </c>
      <c r="C750" s="5">
        <v>41489</v>
      </c>
      <c r="D750" s="5">
        <v>41549</v>
      </c>
      <c r="E750" s="4" t="s">
        <v>5185</v>
      </c>
      <c r="F750" s="4" t="s">
        <v>5292</v>
      </c>
    </row>
    <row r="751" spans="1:6" x14ac:dyDescent="0.25">
      <c r="A751" s="4" t="str">
        <f>CONCATENATE("3071-0000-3023","")</f>
        <v>3071-0000-3023</v>
      </c>
      <c r="B751" s="4" t="s">
        <v>1241</v>
      </c>
      <c r="C751" s="5">
        <v>41489</v>
      </c>
      <c r="D751" s="5">
        <v>41549</v>
      </c>
      <c r="E751" s="4" t="s">
        <v>7</v>
      </c>
      <c r="F751" s="4" t="s">
        <v>808</v>
      </c>
    </row>
    <row r="752" spans="1:6" x14ac:dyDescent="0.25">
      <c r="A752" s="4" t="str">
        <f>CONCATENATE("3071-0000-2955","")</f>
        <v>3071-0000-2955</v>
      </c>
      <c r="B752" s="4" t="s">
        <v>935</v>
      </c>
      <c r="C752" s="5">
        <v>41489</v>
      </c>
      <c r="D752" s="5">
        <v>41549</v>
      </c>
      <c r="E752" s="4" t="s">
        <v>7</v>
      </c>
      <c r="F752" s="4" t="s">
        <v>808</v>
      </c>
    </row>
    <row r="753" spans="1:6" x14ac:dyDescent="0.25">
      <c r="A753" s="4" t="str">
        <f>CONCATENATE("3071-0000-2894","")</f>
        <v>3071-0000-2894</v>
      </c>
      <c r="B753" s="4" t="s">
        <v>929</v>
      </c>
      <c r="C753" s="5">
        <v>41489</v>
      </c>
      <c r="D753" s="5">
        <v>41549</v>
      </c>
      <c r="E753" s="4" t="s">
        <v>7</v>
      </c>
      <c r="F753" s="4" t="s">
        <v>808</v>
      </c>
    </row>
    <row r="754" spans="1:6" x14ac:dyDescent="0.25">
      <c r="A754" s="4" t="str">
        <f>CONCATENATE("3071-0000-3221","")</f>
        <v>3071-0000-3221</v>
      </c>
      <c r="B754" s="4" t="s">
        <v>955</v>
      </c>
      <c r="C754" s="5">
        <v>41489</v>
      </c>
      <c r="D754" s="5">
        <v>41549</v>
      </c>
      <c r="E754" s="4" t="s">
        <v>7</v>
      </c>
      <c r="F754" s="4" t="s">
        <v>808</v>
      </c>
    </row>
    <row r="755" spans="1:6" x14ac:dyDescent="0.25">
      <c r="A755" s="4" t="str">
        <f>CONCATENATE("3071-0000-0428","")</f>
        <v>3071-0000-0428</v>
      </c>
      <c r="B755" s="4" t="s">
        <v>564</v>
      </c>
      <c r="C755" s="5">
        <v>41489</v>
      </c>
      <c r="D755" s="5">
        <v>41549</v>
      </c>
      <c r="E755" s="4" t="s">
        <v>7</v>
      </c>
      <c r="F755" s="4" t="s">
        <v>7</v>
      </c>
    </row>
    <row r="756" spans="1:6" x14ac:dyDescent="0.25">
      <c r="A756" s="4" t="str">
        <f>CONCATENATE("3071-0000-0671","")</f>
        <v>3071-0000-0671</v>
      </c>
      <c r="B756" s="4" t="s">
        <v>487</v>
      </c>
      <c r="C756" s="5">
        <v>41489</v>
      </c>
      <c r="D756" s="5">
        <v>41549</v>
      </c>
      <c r="E756" s="4" t="s">
        <v>7</v>
      </c>
      <c r="F756" s="4" t="s">
        <v>7</v>
      </c>
    </row>
    <row r="757" spans="1:6" x14ac:dyDescent="0.25">
      <c r="A757" s="4" t="str">
        <f>CONCATENATE("3071-0000-3155","")</f>
        <v>3071-0000-3155</v>
      </c>
      <c r="B757" s="4" t="s">
        <v>1261</v>
      </c>
      <c r="C757" s="5">
        <v>41489</v>
      </c>
      <c r="D757" s="5">
        <v>41549</v>
      </c>
      <c r="E757" s="4" t="s">
        <v>7</v>
      </c>
      <c r="F757" s="4" t="s">
        <v>808</v>
      </c>
    </row>
    <row r="758" spans="1:6" x14ac:dyDescent="0.25">
      <c r="A758" s="4" t="str">
        <f>CONCATENATE("3071-0000-7864","")</f>
        <v>3071-0000-7864</v>
      </c>
      <c r="B758" s="4" t="s">
        <v>5215</v>
      </c>
      <c r="C758" s="5">
        <v>41489</v>
      </c>
      <c r="D758" s="5">
        <v>41549</v>
      </c>
      <c r="E758" s="4" t="s">
        <v>5185</v>
      </c>
      <c r="F758" s="4" t="s">
        <v>5185</v>
      </c>
    </row>
    <row r="759" spans="1:6" x14ac:dyDescent="0.25">
      <c r="A759" s="4" t="str">
        <f>CONCATENATE("3071-0000-7775","")</f>
        <v>3071-0000-7775</v>
      </c>
      <c r="B759" s="4" t="s">
        <v>4647</v>
      </c>
      <c r="C759" s="5">
        <v>41489</v>
      </c>
      <c r="D759" s="5">
        <v>41549</v>
      </c>
      <c r="E759" s="4" t="s">
        <v>1410</v>
      </c>
      <c r="F759" s="4" t="s">
        <v>1410</v>
      </c>
    </row>
    <row r="760" spans="1:6" x14ac:dyDescent="0.25">
      <c r="A760" s="4" t="str">
        <f>CONCATENATE("3071-0000-3867","")</f>
        <v>3071-0000-3867</v>
      </c>
      <c r="B760" s="4" t="s">
        <v>4016</v>
      </c>
      <c r="C760" s="5">
        <v>41489</v>
      </c>
      <c r="D760" s="5">
        <v>41549</v>
      </c>
      <c r="E760" s="4" t="s">
        <v>1381</v>
      </c>
      <c r="F760" s="4" t="s">
        <v>3994</v>
      </c>
    </row>
    <row r="761" spans="1:6" x14ac:dyDescent="0.25">
      <c r="A761" s="4" t="str">
        <f>CONCATENATE("3071-0000-1794","")</f>
        <v>3071-0000-1794</v>
      </c>
      <c r="B761" s="4" t="s">
        <v>2307</v>
      </c>
      <c r="C761" s="5">
        <v>41489</v>
      </c>
      <c r="D761" s="5">
        <v>41549</v>
      </c>
      <c r="E761" s="4" t="s">
        <v>1381</v>
      </c>
      <c r="F761" s="4" t="s">
        <v>2303</v>
      </c>
    </row>
    <row r="762" spans="1:6" x14ac:dyDescent="0.25">
      <c r="A762" s="4" t="str">
        <f>CONCATENATE("3071-0000-9391","")</f>
        <v>3071-0000-9391</v>
      </c>
      <c r="B762" s="4" t="s">
        <v>8689</v>
      </c>
      <c r="C762" s="5">
        <v>41489</v>
      </c>
      <c r="D762" s="5">
        <v>41549</v>
      </c>
      <c r="E762" s="4" t="s">
        <v>1410</v>
      </c>
      <c r="F762" s="4" t="s">
        <v>4459</v>
      </c>
    </row>
    <row r="763" spans="1:6" x14ac:dyDescent="0.25">
      <c r="A763" s="4" t="str">
        <f>CONCATENATE("3071-0000-6955","")</f>
        <v>3071-0000-6955</v>
      </c>
      <c r="B763" s="4" t="s">
        <v>4560</v>
      </c>
      <c r="C763" s="5">
        <v>41489</v>
      </c>
      <c r="D763" s="5">
        <v>41549</v>
      </c>
      <c r="E763" s="4" t="s">
        <v>1410</v>
      </c>
      <c r="F763" s="4" t="s">
        <v>1410</v>
      </c>
    </row>
    <row r="764" spans="1:6" x14ac:dyDescent="0.25">
      <c r="A764" s="4" t="str">
        <f>CONCATENATE("3071-0000-3866","")</f>
        <v>3071-0000-3866</v>
      </c>
      <c r="B764" s="4" t="s">
        <v>4014</v>
      </c>
      <c r="C764" s="5">
        <v>41489</v>
      </c>
      <c r="D764" s="5">
        <v>41549</v>
      </c>
      <c r="E764" s="4" t="s">
        <v>1381</v>
      </c>
      <c r="F764" s="4" t="s">
        <v>3994</v>
      </c>
    </row>
    <row r="765" spans="1:6" x14ac:dyDescent="0.25">
      <c r="A765" s="4" t="str">
        <f>CONCATENATE("3071-0000-5425","")</f>
        <v>3071-0000-5425</v>
      </c>
      <c r="B765" s="4" t="s">
        <v>6924</v>
      </c>
      <c r="C765" s="5">
        <v>41489</v>
      </c>
      <c r="D765" s="5">
        <v>41549</v>
      </c>
      <c r="E765" s="4" t="s">
        <v>5185</v>
      </c>
      <c r="F765" s="4" t="s">
        <v>5185</v>
      </c>
    </row>
    <row r="766" spans="1:6" x14ac:dyDescent="0.25">
      <c r="A766" s="4" t="str">
        <f>CONCATENATE("3071-0000-8755","")</f>
        <v>3071-0000-8755</v>
      </c>
      <c r="B766" s="4" t="s">
        <v>6397</v>
      </c>
      <c r="C766" s="5">
        <v>41489</v>
      </c>
      <c r="D766" s="5">
        <v>41549</v>
      </c>
      <c r="E766" s="4" t="s">
        <v>5185</v>
      </c>
      <c r="F766" s="4" t="s">
        <v>5292</v>
      </c>
    </row>
    <row r="767" spans="1:6" x14ac:dyDescent="0.25">
      <c r="A767" s="4" t="str">
        <f>CONCATENATE("3071-0000-4864","")</f>
        <v>3071-0000-4864</v>
      </c>
      <c r="B767" s="4" t="s">
        <v>9391</v>
      </c>
      <c r="C767" s="5">
        <v>41489</v>
      </c>
      <c r="D767" s="5">
        <v>41549</v>
      </c>
      <c r="E767" s="4" t="s">
        <v>7069</v>
      </c>
      <c r="F767" s="4" t="s">
        <v>9210</v>
      </c>
    </row>
    <row r="768" spans="1:6" x14ac:dyDescent="0.25">
      <c r="A768" s="4" t="str">
        <f>CONCATENATE("3071-0000-1177","")</f>
        <v>3071-0000-1177</v>
      </c>
      <c r="B768" s="4" t="s">
        <v>2113</v>
      </c>
      <c r="C768" s="5">
        <v>41489</v>
      </c>
      <c r="D768" s="5">
        <v>41549</v>
      </c>
      <c r="E768" s="4" t="s">
        <v>1857</v>
      </c>
      <c r="F768" s="4" t="s">
        <v>2108</v>
      </c>
    </row>
    <row r="769" spans="1:6" x14ac:dyDescent="0.25">
      <c r="A769" s="4" t="str">
        <f>CONCATENATE("3071-0000-2393","")</f>
        <v>3071-0000-2393</v>
      </c>
      <c r="B769" s="4" t="s">
        <v>3216</v>
      </c>
      <c r="C769" s="5">
        <v>41489</v>
      </c>
      <c r="D769" s="5">
        <v>41549</v>
      </c>
      <c r="E769" s="4" t="s">
        <v>2944</v>
      </c>
      <c r="F769" s="4" t="s">
        <v>3164</v>
      </c>
    </row>
    <row r="770" spans="1:6" x14ac:dyDescent="0.25">
      <c r="A770" s="4" t="str">
        <f>CONCATENATE("3071-0000-0844","")</f>
        <v>3071-0000-0844</v>
      </c>
      <c r="B770" s="4" t="s">
        <v>1920</v>
      </c>
      <c r="C770" s="5">
        <v>41489</v>
      </c>
      <c r="D770" s="5">
        <v>41549</v>
      </c>
      <c r="E770" s="4" t="s">
        <v>1857</v>
      </c>
      <c r="F770" s="4" t="s">
        <v>1857</v>
      </c>
    </row>
    <row r="771" spans="1:6" x14ac:dyDescent="0.25">
      <c r="A771" s="4" t="str">
        <f>CONCATENATE("3071-0000-1151","")</f>
        <v>3071-0000-1151</v>
      </c>
      <c r="B771" s="4" t="s">
        <v>2112</v>
      </c>
      <c r="C771" s="5">
        <v>41489</v>
      </c>
      <c r="D771" s="5">
        <v>41549</v>
      </c>
      <c r="E771" s="4" t="s">
        <v>1857</v>
      </c>
      <c r="F771" s="4" t="s">
        <v>2108</v>
      </c>
    </row>
    <row r="772" spans="1:6" x14ac:dyDescent="0.25">
      <c r="A772" s="4" t="str">
        <f>CONCATENATE("3071-0000-0857","")</f>
        <v>3071-0000-0857</v>
      </c>
      <c r="B772" s="4" t="s">
        <v>1951</v>
      </c>
      <c r="C772" s="5">
        <v>41489</v>
      </c>
      <c r="D772" s="5">
        <v>41549</v>
      </c>
      <c r="E772" s="4" t="s">
        <v>1857</v>
      </c>
      <c r="F772" s="4" t="s">
        <v>1857</v>
      </c>
    </row>
    <row r="773" spans="1:6" x14ac:dyDescent="0.25">
      <c r="A773" s="4" t="str">
        <f>CONCATENATE("3071-0000-0807","")</f>
        <v>3071-0000-0807</v>
      </c>
      <c r="B773" s="4" t="s">
        <v>1940</v>
      </c>
      <c r="C773" s="5">
        <v>41489</v>
      </c>
      <c r="D773" s="5">
        <v>41549</v>
      </c>
      <c r="E773" s="4" t="s">
        <v>1857</v>
      </c>
      <c r="F773" s="4" t="s">
        <v>1857</v>
      </c>
    </row>
    <row r="774" spans="1:6" x14ac:dyDescent="0.25">
      <c r="A774" s="4" t="str">
        <f>CONCATENATE("3071-0000-1108","")</f>
        <v>3071-0000-1108</v>
      </c>
      <c r="B774" s="4" t="s">
        <v>1975</v>
      </c>
      <c r="C774" s="5">
        <v>41489</v>
      </c>
      <c r="D774" s="5">
        <v>41549</v>
      </c>
      <c r="E774" s="4" t="s">
        <v>1857</v>
      </c>
      <c r="F774" s="4" t="s">
        <v>1857</v>
      </c>
    </row>
    <row r="775" spans="1:6" x14ac:dyDescent="0.25">
      <c r="A775" s="4" t="str">
        <f>CONCATENATE("3071-0000-3311","")</f>
        <v>3071-0000-3311</v>
      </c>
      <c r="B775" s="4" t="s">
        <v>977</v>
      </c>
      <c r="C775" s="5">
        <v>41489</v>
      </c>
      <c r="D775" s="5">
        <v>41549</v>
      </c>
      <c r="E775" s="4" t="s">
        <v>7</v>
      </c>
      <c r="F775" s="4" t="s">
        <v>7</v>
      </c>
    </row>
    <row r="776" spans="1:6" x14ac:dyDescent="0.25">
      <c r="A776" s="4" t="str">
        <f>CONCATENATE("3071-0000-0962","")</f>
        <v>3071-0000-0962</v>
      </c>
      <c r="B776" s="4" t="s">
        <v>2114</v>
      </c>
      <c r="C776" s="5">
        <v>41489</v>
      </c>
      <c r="D776" s="5">
        <v>41549</v>
      </c>
      <c r="E776" s="4" t="s">
        <v>1857</v>
      </c>
      <c r="F776" s="4" t="s">
        <v>1857</v>
      </c>
    </row>
    <row r="777" spans="1:6" x14ac:dyDescent="0.25">
      <c r="A777" s="4" t="str">
        <f>CONCATENATE("3071-0000-6010","")</f>
        <v>3071-0000-6010</v>
      </c>
      <c r="B777" s="4" t="s">
        <v>7611</v>
      </c>
      <c r="C777" s="5">
        <v>41489</v>
      </c>
      <c r="D777" s="5">
        <v>41549</v>
      </c>
      <c r="E777" s="4" t="s">
        <v>5185</v>
      </c>
      <c r="F777" s="4" t="s">
        <v>5185</v>
      </c>
    </row>
    <row r="778" spans="1:6" x14ac:dyDescent="0.25">
      <c r="A778" s="4" t="str">
        <f>CONCATENATE("3071-0000-5827","")</f>
        <v>3071-0000-5827</v>
      </c>
      <c r="B778" s="4" t="s">
        <v>7626</v>
      </c>
      <c r="C778" s="5">
        <v>41489</v>
      </c>
      <c r="D778" s="5">
        <v>41549</v>
      </c>
      <c r="E778" s="4" t="s">
        <v>5185</v>
      </c>
      <c r="F778" s="4" t="s">
        <v>5185</v>
      </c>
    </row>
    <row r="779" spans="1:6" x14ac:dyDescent="0.25">
      <c r="A779" s="4" t="str">
        <f>CONCATENATE("3071-0000-4842","")</f>
        <v>3071-0000-4842</v>
      </c>
      <c r="B779" s="4" t="s">
        <v>8759</v>
      </c>
      <c r="C779" s="5">
        <v>41489</v>
      </c>
      <c r="D779" s="5">
        <v>41549</v>
      </c>
      <c r="E779" s="4" t="s">
        <v>1410</v>
      </c>
      <c r="F779" s="4" t="s">
        <v>8696</v>
      </c>
    </row>
    <row r="780" spans="1:6" x14ac:dyDescent="0.25">
      <c r="A780" s="4" t="str">
        <f>CONCATENATE("3071-0000-4301","")</f>
        <v>3071-0000-4301</v>
      </c>
      <c r="B780" s="4" t="s">
        <v>8722</v>
      </c>
      <c r="C780" s="5">
        <v>41489</v>
      </c>
      <c r="D780" s="5">
        <v>41549</v>
      </c>
      <c r="E780" s="4" t="s">
        <v>1410</v>
      </c>
      <c r="F780" s="4" t="s">
        <v>8696</v>
      </c>
    </row>
    <row r="781" spans="1:6" x14ac:dyDescent="0.25">
      <c r="A781" s="4" t="str">
        <f>CONCATENATE("3071-0000-5913","")</f>
        <v>3071-0000-5913</v>
      </c>
      <c r="B781" s="4" t="s">
        <v>7195</v>
      </c>
      <c r="C781" s="5">
        <v>41489</v>
      </c>
      <c r="D781" s="5">
        <v>41549</v>
      </c>
      <c r="E781" s="4" t="s">
        <v>5185</v>
      </c>
      <c r="F781" s="4" t="s">
        <v>5185</v>
      </c>
    </row>
    <row r="782" spans="1:6" x14ac:dyDescent="0.25">
      <c r="A782" s="4" t="str">
        <f>CONCATENATE("3071-0000-4782","")</f>
        <v>3071-0000-4782</v>
      </c>
      <c r="B782" s="4" t="s">
        <v>9034</v>
      </c>
      <c r="C782" s="5">
        <v>41489</v>
      </c>
      <c r="D782" s="5">
        <v>41549</v>
      </c>
      <c r="E782" s="4" t="s">
        <v>1410</v>
      </c>
      <c r="F782" s="4" t="s">
        <v>8696</v>
      </c>
    </row>
    <row r="783" spans="1:6" x14ac:dyDescent="0.25">
      <c r="A783" s="4" t="str">
        <f>CONCATENATE("3071-0000-5764","")</f>
        <v>3071-0000-5764</v>
      </c>
      <c r="B783" s="4" t="s">
        <v>7014</v>
      </c>
      <c r="C783" s="5">
        <v>41489</v>
      </c>
      <c r="D783" s="5">
        <v>41549</v>
      </c>
      <c r="E783" s="4" t="s">
        <v>5185</v>
      </c>
      <c r="F783" s="4" t="s">
        <v>5185</v>
      </c>
    </row>
    <row r="784" spans="1:6" x14ac:dyDescent="0.25">
      <c r="A784" s="4" t="str">
        <f>CONCATENATE("3071-0000-4249","")</f>
        <v>3071-0000-4249</v>
      </c>
      <c r="B784" s="4" t="s">
        <v>8816</v>
      </c>
      <c r="C784" s="5">
        <v>41489</v>
      </c>
      <c r="D784" s="5">
        <v>41549</v>
      </c>
      <c r="E784" s="4" t="s">
        <v>1410</v>
      </c>
      <c r="F784" s="4" t="s">
        <v>8696</v>
      </c>
    </row>
    <row r="785" spans="1:6" x14ac:dyDescent="0.25">
      <c r="A785" s="4" t="str">
        <f>CONCATENATE("3071-0000-5148","")</f>
        <v>3071-0000-5148</v>
      </c>
      <c r="B785" s="4" t="s">
        <v>8995</v>
      </c>
      <c r="C785" s="5">
        <v>41489</v>
      </c>
      <c r="D785" s="5">
        <v>41549</v>
      </c>
      <c r="E785" s="4" t="s">
        <v>1410</v>
      </c>
      <c r="F785" s="4" t="s">
        <v>8903</v>
      </c>
    </row>
    <row r="786" spans="1:6" x14ac:dyDescent="0.25">
      <c r="A786" s="4" t="str">
        <f>CONCATENATE("3071-0000-6048","")</f>
        <v>3071-0000-6048</v>
      </c>
      <c r="B786" s="4" t="s">
        <v>9695</v>
      </c>
      <c r="C786" s="5">
        <v>41489</v>
      </c>
      <c r="D786" s="5">
        <v>41549</v>
      </c>
      <c r="E786" s="4" t="s">
        <v>1410</v>
      </c>
      <c r="F786" s="4" t="s">
        <v>1410</v>
      </c>
    </row>
    <row r="787" spans="1:6" x14ac:dyDescent="0.25">
      <c r="A787" s="4" t="str">
        <f>CONCATENATE("3071-0000-5822","")</f>
        <v>3071-0000-5822</v>
      </c>
      <c r="B787" s="4" t="s">
        <v>7609</v>
      </c>
      <c r="C787" s="5">
        <v>41489</v>
      </c>
      <c r="D787" s="5">
        <v>41549</v>
      </c>
      <c r="E787" s="4" t="s">
        <v>5185</v>
      </c>
      <c r="F787" s="4" t="s">
        <v>5185</v>
      </c>
    </row>
    <row r="788" spans="1:6" x14ac:dyDescent="0.25">
      <c r="A788" s="4" t="str">
        <f>CONCATENATE("3071-0000-6092","")</f>
        <v>3071-0000-6092</v>
      </c>
      <c r="B788" s="4" t="s">
        <v>7618</v>
      </c>
      <c r="C788" s="5">
        <v>41489</v>
      </c>
      <c r="D788" s="5">
        <v>41549</v>
      </c>
      <c r="E788" s="4" t="s">
        <v>1410</v>
      </c>
      <c r="F788" s="4" t="s">
        <v>1410</v>
      </c>
    </row>
    <row r="789" spans="1:6" x14ac:dyDescent="0.25">
      <c r="A789" s="4" t="str">
        <f>CONCATENATE("3071-0000-6952","")</f>
        <v>3071-0000-6952</v>
      </c>
      <c r="B789" s="4" t="s">
        <v>4513</v>
      </c>
      <c r="C789" s="5">
        <v>41489</v>
      </c>
      <c r="D789" s="5">
        <v>41549</v>
      </c>
      <c r="E789" s="4" t="s">
        <v>1410</v>
      </c>
      <c r="F789" s="4" t="s">
        <v>1410</v>
      </c>
    </row>
    <row r="790" spans="1:6" x14ac:dyDescent="0.25">
      <c r="A790" s="4" t="str">
        <f>CONCATENATE("3071-0000-0842","")</f>
        <v>3071-0000-0842</v>
      </c>
      <c r="B790" s="4" t="s">
        <v>2014</v>
      </c>
      <c r="C790" s="5">
        <v>41489</v>
      </c>
      <c r="D790" s="5">
        <v>41549</v>
      </c>
      <c r="E790" s="4" t="s">
        <v>1857</v>
      </c>
      <c r="F790" s="4" t="s">
        <v>1857</v>
      </c>
    </row>
    <row r="791" spans="1:6" x14ac:dyDescent="0.25">
      <c r="A791" s="4" t="str">
        <f>CONCATENATE("3071-0000-1250","")</f>
        <v>3071-0000-1250</v>
      </c>
      <c r="B791" s="4" t="s">
        <v>2336</v>
      </c>
      <c r="C791" s="5">
        <v>41489</v>
      </c>
      <c r="D791" s="5">
        <v>41549</v>
      </c>
      <c r="E791" s="4" t="s">
        <v>1381</v>
      </c>
      <c r="F791" s="4" t="s">
        <v>2303</v>
      </c>
    </row>
    <row r="792" spans="1:6" x14ac:dyDescent="0.25">
      <c r="A792" s="4" t="str">
        <f>CONCATENATE("3071-0000-1466","")</f>
        <v>3071-0000-1466</v>
      </c>
      <c r="B792" s="4" t="s">
        <v>2911</v>
      </c>
      <c r="C792" s="5">
        <v>41489</v>
      </c>
      <c r="D792" s="5">
        <v>41549</v>
      </c>
      <c r="E792" s="4" t="s">
        <v>1381</v>
      </c>
      <c r="F792" s="4" t="s">
        <v>2303</v>
      </c>
    </row>
    <row r="793" spans="1:6" x14ac:dyDescent="0.25">
      <c r="A793" s="4" t="str">
        <f>CONCATENATE("3071-0000-1273","")</f>
        <v>3071-0000-1273</v>
      </c>
      <c r="B793" s="4" t="s">
        <v>2377</v>
      </c>
      <c r="C793" s="5">
        <v>41489</v>
      </c>
      <c r="D793" s="5">
        <v>41549</v>
      </c>
      <c r="E793" s="4" t="s">
        <v>1381</v>
      </c>
      <c r="F793" s="4" t="s">
        <v>2303</v>
      </c>
    </row>
    <row r="794" spans="1:6" x14ac:dyDescent="0.25">
      <c r="A794" s="4" t="str">
        <f>CONCATENATE("3071-0000-0121","")</f>
        <v>3071-0000-0121</v>
      </c>
      <c r="B794" s="4" t="s">
        <v>263</v>
      </c>
      <c r="C794" s="5">
        <v>41489</v>
      </c>
      <c r="D794" s="5">
        <v>41549</v>
      </c>
      <c r="E794" s="4" t="s">
        <v>7</v>
      </c>
      <c r="F794" s="4" t="s">
        <v>7</v>
      </c>
    </row>
    <row r="795" spans="1:6" x14ac:dyDescent="0.25">
      <c r="A795" s="4" t="str">
        <f>CONCATENATE("3071-0000-1748","")</f>
        <v>3071-0000-1748</v>
      </c>
      <c r="B795" s="4" t="s">
        <v>2430</v>
      </c>
      <c r="C795" s="5">
        <v>41489</v>
      </c>
      <c r="D795" s="5">
        <v>41549</v>
      </c>
      <c r="E795" s="4" t="s">
        <v>1381</v>
      </c>
      <c r="F795" s="4" t="s">
        <v>2303</v>
      </c>
    </row>
    <row r="796" spans="1:6" x14ac:dyDescent="0.25">
      <c r="A796" s="4" t="str">
        <f>CONCATENATE("3071-0000-2015","")</f>
        <v>3071-0000-2015</v>
      </c>
      <c r="B796" s="4" t="s">
        <v>3283</v>
      </c>
      <c r="C796" s="5">
        <v>41489</v>
      </c>
      <c r="D796" s="5">
        <v>41549</v>
      </c>
      <c r="E796" s="4" t="s">
        <v>2944</v>
      </c>
      <c r="F796" s="4" t="s">
        <v>2945</v>
      </c>
    </row>
    <row r="797" spans="1:6" x14ac:dyDescent="0.25">
      <c r="A797" s="4" t="str">
        <f>CONCATENATE("3071-0000-6755","")</f>
        <v>3071-0000-6755</v>
      </c>
      <c r="B797" s="4" t="s">
        <v>7977</v>
      </c>
      <c r="C797" s="5">
        <v>41489</v>
      </c>
      <c r="D797" s="5">
        <v>41549</v>
      </c>
      <c r="E797" s="4" t="s">
        <v>1410</v>
      </c>
      <c r="F797" s="4" t="s">
        <v>4655</v>
      </c>
    </row>
    <row r="798" spans="1:6" x14ac:dyDescent="0.25">
      <c r="A798" s="4" t="str">
        <f>CONCATENATE("3071-0000-6764","")</f>
        <v>3071-0000-6764</v>
      </c>
      <c r="B798" s="4" t="s">
        <v>8259</v>
      </c>
      <c r="C798" s="5">
        <v>41489</v>
      </c>
      <c r="D798" s="5">
        <v>41549</v>
      </c>
      <c r="E798" s="4" t="s">
        <v>1410</v>
      </c>
      <c r="F798" s="4" t="s">
        <v>8192</v>
      </c>
    </row>
    <row r="799" spans="1:6" x14ac:dyDescent="0.25">
      <c r="A799" s="4" t="str">
        <f>CONCATENATE("3071-0000-6354","")</f>
        <v>3071-0000-6354</v>
      </c>
      <c r="B799" s="4" t="s">
        <v>7873</v>
      </c>
      <c r="C799" s="5">
        <v>41489</v>
      </c>
      <c r="D799" s="5">
        <v>41549</v>
      </c>
      <c r="E799" s="4" t="s">
        <v>5185</v>
      </c>
      <c r="F799" s="4" t="s">
        <v>5185</v>
      </c>
    </row>
    <row r="800" spans="1:6" x14ac:dyDescent="0.25">
      <c r="A800" s="4" t="str">
        <f>CONCATENATE("3071-0000-7394","")</f>
        <v>3071-0000-7394</v>
      </c>
      <c r="B800" s="4" t="s">
        <v>4774</v>
      </c>
      <c r="C800" s="5">
        <v>41489</v>
      </c>
      <c r="D800" s="5">
        <v>41549</v>
      </c>
      <c r="E800" s="4" t="s">
        <v>1410</v>
      </c>
      <c r="F800" s="4" t="s">
        <v>1410</v>
      </c>
    </row>
    <row r="801" spans="1:6" x14ac:dyDescent="0.25">
      <c r="A801" s="4" t="str">
        <f>CONCATENATE("3071-0000-6808","")</f>
        <v>3071-0000-6808</v>
      </c>
      <c r="B801" s="4" t="s">
        <v>8268</v>
      </c>
      <c r="C801" s="5">
        <v>41489</v>
      </c>
      <c r="D801" s="5">
        <v>41549</v>
      </c>
      <c r="E801" s="4" t="s">
        <v>1410</v>
      </c>
      <c r="F801" s="4" t="s">
        <v>7967</v>
      </c>
    </row>
    <row r="802" spans="1:6" x14ac:dyDescent="0.25">
      <c r="A802" s="4" t="str">
        <f>CONCATENATE("3071-0000-6513","")</f>
        <v>3071-0000-6513</v>
      </c>
      <c r="B802" s="4" t="s">
        <v>7920</v>
      </c>
      <c r="C802" s="5">
        <v>41489</v>
      </c>
      <c r="D802" s="5">
        <v>41549</v>
      </c>
      <c r="E802" s="4" t="s">
        <v>5185</v>
      </c>
      <c r="F802" s="4" t="s">
        <v>5185</v>
      </c>
    </row>
    <row r="803" spans="1:6" x14ac:dyDescent="0.25">
      <c r="A803" s="4" t="str">
        <f>CONCATENATE("3071-0000-7724","")</f>
        <v>3071-0000-7724</v>
      </c>
      <c r="B803" s="4" t="s">
        <v>4829</v>
      </c>
      <c r="C803" s="5">
        <v>41489</v>
      </c>
      <c r="D803" s="5">
        <v>41549</v>
      </c>
      <c r="E803" s="4" t="s">
        <v>1410</v>
      </c>
      <c r="F803" s="4" t="s">
        <v>4655</v>
      </c>
    </row>
    <row r="804" spans="1:6" x14ac:dyDescent="0.25">
      <c r="A804" s="4" t="str">
        <f>CONCATENATE("3071-0000-9080","")</f>
        <v>3071-0000-9080</v>
      </c>
      <c r="B804" s="4" t="s">
        <v>6345</v>
      </c>
      <c r="C804" s="5">
        <v>41489</v>
      </c>
      <c r="D804" s="5">
        <v>41549</v>
      </c>
      <c r="E804" s="4" t="s">
        <v>5185</v>
      </c>
      <c r="F804" s="4" t="s">
        <v>5945</v>
      </c>
    </row>
    <row r="805" spans="1:6" x14ac:dyDescent="0.25">
      <c r="A805" s="4" t="str">
        <f>CONCATENATE("3071-0000-6647","")</f>
        <v>3071-0000-6647</v>
      </c>
      <c r="B805" s="4" t="s">
        <v>7974</v>
      </c>
      <c r="C805" s="5">
        <v>41489</v>
      </c>
      <c r="D805" s="5">
        <v>41549</v>
      </c>
      <c r="E805" s="4" t="s">
        <v>5185</v>
      </c>
      <c r="F805" s="4" t="s">
        <v>5185</v>
      </c>
    </row>
    <row r="806" spans="1:6" x14ac:dyDescent="0.25">
      <c r="A806" s="4" t="str">
        <f>CONCATENATE("3071-0000-7714","")</f>
        <v>3071-0000-7714</v>
      </c>
      <c r="B806" s="4" t="s">
        <v>4681</v>
      </c>
      <c r="C806" s="5">
        <v>41489</v>
      </c>
      <c r="D806" s="5">
        <v>41549</v>
      </c>
      <c r="E806" s="4" t="s">
        <v>1410</v>
      </c>
      <c r="F806" s="4" t="s">
        <v>4655</v>
      </c>
    </row>
    <row r="807" spans="1:6" x14ac:dyDescent="0.25">
      <c r="A807" s="4" t="str">
        <f>CONCATENATE("3071-0000-7035","")</f>
        <v>3071-0000-7035</v>
      </c>
      <c r="B807" s="4" t="s">
        <v>4871</v>
      </c>
      <c r="C807" s="5">
        <v>41489</v>
      </c>
      <c r="D807" s="5">
        <v>41549</v>
      </c>
      <c r="E807" s="4" t="s">
        <v>1410</v>
      </c>
      <c r="F807" s="4" t="s">
        <v>1410</v>
      </c>
    </row>
    <row r="808" spans="1:6" x14ac:dyDescent="0.25">
      <c r="A808" s="4" t="str">
        <f>CONCATENATE("3071-0000-6523","")</f>
        <v>3071-0000-6523</v>
      </c>
      <c r="B808" s="4" t="s">
        <v>7947</v>
      </c>
      <c r="C808" s="5">
        <v>41489</v>
      </c>
      <c r="D808" s="5">
        <v>41549</v>
      </c>
      <c r="E808" s="4" t="s">
        <v>5185</v>
      </c>
      <c r="F808" s="4" t="s">
        <v>5185</v>
      </c>
    </row>
    <row r="809" spans="1:6" x14ac:dyDescent="0.25">
      <c r="A809" s="4" t="str">
        <f>CONCATENATE("3071-0000-7679","")</f>
        <v>3071-0000-7679</v>
      </c>
      <c r="B809" s="4" t="s">
        <v>4683</v>
      </c>
      <c r="C809" s="5">
        <v>41489</v>
      </c>
      <c r="D809" s="5">
        <v>41549</v>
      </c>
      <c r="E809" s="4" t="s">
        <v>1410</v>
      </c>
      <c r="F809" s="4" t="s">
        <v>4655</v>
      </c>
    </row>
    <row r="810" spans="1:6" x14ac:dyDescent="0.25">
      <c r="A810" s="4" t="str">
        <f>CONCATENATE("3071-0000-6656","")</f>
        <v>3071-0000-6656</v>
      </c>
      <c r="B810" s="4" t="s">
        <v>7770</v>
      </c>
      <c r="C810" s="5">
        <v>41489</v>
      </c>
      <c r="D810" s="5">
        <v>41549</v>
      </c>
      <c r="E810" s="4" t="s">
        <v>5185</v>
      </c>
      <c r="F810" s="4" t="s">
        <v>5185</v>
      </c>
    </row>
    <row r="811" spans="1:6" x14ac:dyDescent="0.25">
      <c r="A811" s="4" t="str">
        <f>CONCATENATE("3071-0000-6596","")</f>
        <v>3071-0000-6596</v>
      </c>
      <c r="B811" s="4" t="s">
        <v>7978</v>
      </c>
      <c r="C811" s="5">
        <v>41489</v>
      </c>
      <c r="D811" s="5">
        <v>41549</v>
      </c>
      <c r="E811" s="4" t="s">
        <v>5185</v>
      </c>
      <c r="F811" s="4" t="s">
        <v>5185</v>
      </c>
    </row>
    <row r="812" spans="1:6" x14ac:dyDescent="0.25">
      <c r="A812" s="4" t="str">
        <f>CONCATENATE("3071-0000-6223","")</f>
        <v>3071-0000-6223</v>
      </c>
      <c r="B812" s="4" t="s">
        <v>7049</v>
      </c>
      <c r="C812" s="5">
        <v>41489</v>
      </c>
      <c r="D812" s="5">
        <v>41549</v>
      </c>
      <c r="E812" s="4" t="s">
        <v>1410</v>
      </c>
      <c r="F812" s="4" t="s">
        <v>6798</v>
      </c>
    </row>
    <row r="813" spans="1:6" x14ac:dyDescent="0.25">
      <c r="A813" s="4" t="str">
        <f>CONCATENATE("3071-0000-7328","")</f>
        <v>3071-0000-7328</v>
      </c>
      <c r="B813" s="4" t="s">
        <v>4394</v>
      </c>
      <c r="C813" s="5">
        <v>41489</v>
      </c>
      <c r="D813" s="5">
        <v>41549</v>
      </c>
      <c r="E813" s="4" t="s">
        <v>1410</v>
      </c>
      <c r="F813" s="4" t="s">
        <v>1410</v>
      </c>
    </row>
    <row r="814" spans="1:6" x14ac:dyDescent="0.25">
      <c r="A814" s="4" t="str">
        <f>CONCATENATE("3071-0000-6233","")</f>
        <v>3071-0000-6233</v>
      </c>
      <c r="B814" s="4" t="s">
        <v>6995</v>
      </c>
      <c r="C814" s="5">
        <v>41489</v>
      </c>
      <c r="D814" s="5">
        <v>41549</v>
      </c>
      <c r="E814" s="4" t="s">
        <v>1410</v>
      </c>
      <c r="F814" s="4" t="s">
        <v>6798</v>
      </c>
    </row>
    <row r="815" spans="1:6" x14ac:dyDescent="0.25">
      <c r="A815" s="4" t="str">
        <f>CONCATENATE("3071-0000-7016","")</f>
        <v>3071-0000-7016</v>
      </c>
      <c r="B815" s="4" t="s">
        <v>4658</v>
      </c>
      <c r="C815" s="5">
        <v>41489</v>
      </c>
      <c r="D815" s="5">
        <v>41549</v>
      </c>
      <c r="E815" s="4" t="s">
        <v>1410</v>
      </c>
      <c r="F815" s="4" t="s">
        <v>1410</v>
      </c>
    </row>
    <row r="816" spans="1:6" x14ac:dyDescent="0.25">
      <c r="A816" s="4" t="str">
        <f>CONCATENATE("3071-0000-1724","")</f>
        <v>3071-0000-1724</v>
      </c>
      <c r="B816" s="4" t="s">
        <v>2655</v>
      </c>
      <c r="C816" s="5">
        <v>41489</v>
      </c>
      <c r="D816" s="5">
        <v>41549</v>
      </c>
      <c r="E816" s="4" t="s">
        <v>1381</v>
      </c>
      <c r="F816" s="4" t="s">
        <v>2319</v>
      </c>
    </row>
    <row r="817" spans="1:6" x14ac:dyDescent="0.25">
      <c r="A817" s="4" t="str">
        <f>CONCATENATE("3071-0000-4686","")</f>
        <v>3071-0000-4686</v>
      </c>
      <c r="B817" s="4" t="s">
        <v>9203</v>
      </c>
      <c r="C817" s="5">
        <v>41489</v>
      </c>
      <c r="D817" s="5">
        <v>41549</v>
      </c>
      <c r="E817" s="4" t="s">
        <v>1410</v>
      </c>
      <c r="F817" s="4" t="s">
        <v>8696</v>
      </c>
    </row>
    <row r="818" spans="1:6" x14ac:dyDescent="0.25">
      <c r="A818" s="4" t="str">
        <f>CONCATENATE("3071-0000-4975","")</f>
        <v>3071-0000-4975</v>
      </c>
      <c r="B818" s="4" t="s">
        <v>9022</v>
      </c>
      <c r="C818" s="5">
        <v>41489</v>
      </c>
      <c r="D818" s="5">
        <v>41549</v>
      </c>
      <c r="E818" s="4" t="s">
        <v>7069</v>
      </c>
      <c r="F818" s="4" t="s">
        <v>8783</v>
      </c>
    </row>
    <row r="819" spans="1:6" x14ac:dyDescent="0.25">
      <c r="A819" s="4" t="str">
        <f>CONCATENATE("3071-0000-5092","")</f>
        <v>3071-0000-5092</v>
      </c>
      <c r="B819" s="4" t="s">
        <v>9318</v>
      </c>
      <c r="C819" s="5">
        <v>41489</v>
      </c>
      <c r="D819" s="5">
        <v>41549</v>
      </c>
      <c r="E819" s="4" t="s">
        <v>7069</v>
      </c>
      <c r="F819" s="4" t="s">
        <v>9210</v>
      </c>
    </row>
    <row r="820" spans="1:6" x14ac:dyDescent="0.25">
      <c r="A820" s="4" t="str">
        <f>CONCATENATE("3071-0000-1454","")</f>
        <v>3071-0000-1454</v>
      </c>
      <c r="B820" s="4" t="s">
        <v>2693</v>
      </c>
      <c r="C820" s="5">
        <v>41489</v>
      </c>
      <c r="D820" s="5">
        <v>41549</v>
      </c>
      <c r="E820" s="4" t="s">
        <v>1381</v>
      </c>
      <c r="F820" s="4" t="s">
        <v>2303</v>
      </c>
    </row>
    <row r="821" spans="1:6" x14ac:dyDescent="0.25">
      <c r="A821" s="4" t="str">
        <f>CONCATENATE("3071-0000-1396","")</f>
        <v>3071-0000-1396</v>
      </c>
      <c r="B821" s="4" t="s">
        <v>2616</v>
      </c>
      <c r="C821" s="5">
        <v>41489</v>
      </c>
      <c r="D821" s="5">
        <v>41549</v>
      </c>
      <c r="E821" s="4" t="s">
        <v>1381</v>
      </c>
      <c r="F821" s="4" t="s">
        <v>2303</v>
      </c>
    </row>
    <row r="822" spans="1:6" x14ac:dyDescent="0.25">
      <c r="A822" s="4" t="str">
        <f>CONCATENATE("3071-0000-1705","")</f>
        <v>3071-0000-1705</v>
      </c>
      <c r="B822" s="4" t="s">
        <v>2534</v>
      </c>
      <c r="C822" s="5">
        <v>41489</v>
      </c>
      <c r="D822" s="5">
        <v>41549</v>
      </c>
      <c r="E822" s="4" t="s">
        <v>1381</v>
      </c>
      <c r="F822" s="4" t="s">
        <v>2303</v>
      </c>
    </row>
    <row r="823" spans="1:6" x14ac:dyDescent="0.25">
      <c r="A823" s="4" t="str">
        <f>CONCATENATE("3071-0000-5685","")</f>
        <v>3071-0000-5685</v>
      </c>
      <c r="B823" s="4" t="s">
        <v>7560</v>
      </c>
      <c r="C823" s="5">
        <v>41489</v>
      </c>
      <c r="D823" s="5">
        <v>41549</v>
      </c>
      <c r="E823" s="4" t="s">
        <v>5185</v>
      </c>
      <c r="F823" s="4" t="s">
        <v>5185</v>
      </c>
    </row>
    <row r="824" spans="1:6" x14ac:dyDescent="0.25">
      <c r="A824" s="4" t="str">
        <f>CONCATENATE("3071-0000-7460","")</f>
        <v>3071-0000-7460</v>
      </c>
      <c r="B824" s="4" t="s">
        <v>4525</v>
      </c>
      <c r="C824" s="5">
        <v>41489</v>
      </c>
      <c r="D824" s="5">
        <v>41549</v>
      </c>
      <c r="E824" s="4" t="s">
        <v>1410</v>
      </c>
      <c r="F824" s="4" t="s">
        <v>1410</v>
      </c>
    </row>
    <row r="825" spans="1:6" x14ac:dyDescent="0.25">
      <c r="A825" s="4" t="str">
        <f>CONCATENATE("3071-0000-5675","")</f>
        <v>3071-0000-5675</v>
      </c>
      <c r="B825" s="4" t="s">
        <v>7546</v>
      </c>
      <c r="C825" s="5">
        <v>41489</v>
      </c>
      <c r="D825" s="5">
        <v>41549</v>
      </c>
      <c r="E825" s="4" t="s">
        <v>5185</v>
      </c>
      <c r="F825" s="4" t="s">
        <v>5185</v>
      </c>
    </row>
    <row r="826" spans="1:6" x14ac:dyDescent="0.25">
      <c r="A826" s="4" t="str">
        <f>CONCATENATE("3071-0000-5681","")</f>
        <v>3071-0000-5681</v>
      </c>
      <c r="B826" s="4" t="s">
        <v>7554</v>
      </c>
      <c r="C826" s="5">
        <v>41489</v>
      </c>
      <c r="D826" s="5">
        <v>41549</v>
      </c>
      <c r="E826" s="4" t="s">
        <v>5185</v>
      </c>
      <c r="F826" s="4" t="s">
        <v>5185</v>
      </c>
    </row>
    <row r="827" spans="1:6" x14ac:dyDescent="0.25">
      <c r="A827" s="4" t="str">
        <f>CONCATENATE("3071-0000-5577","")</f>
        <v>3071-0000-5577</v>
      </c>
      <c r="B827" s="4" t="s">
        <v>7478</v>
      </c>
      <c r="C827" s="5">
        <v>41489</v>
      </c>
      <c r="D827" s="5">
        <v>41549</v>
      </c>
      <c r="E827" s="4" t="s">
        <v>5185</v>
      </c>
      <c r="F827" s="4" t="s">
        <v>5185</v>
      </c>
    </row>
    <row r="828" spans="1:6" x14ac:dyDescent="0.25">
      <c r="A828" s="4" t="str">
        <f>CONCATENATE("3071-0000-4486","")</f>
        <v>3071-0000-4486</v>
      </c>
      <c r="B828" s="4" t="s">
        <v>9264</v>
      </c>
      <c r="C828" s="5">
        <v>41489</v>
      </c>
      <c r="D828" s="5">
        <v>41549</v>
      </c>
      <c r="E828" s="4" t="s">
        <v>1410</v>
      </c>
      <c r="F828" s="4" t="s">
        <v>8696</v>
      </c>
    </row>
    <row r="829" spans="1:6" x14ac:dyDescent="0.25">
      <c r="A829" s="4" t="str">
        <f>CONCATENATE("3071-0000-9550","")</f>
        <v>3071-0000-9550</v>
      </c>
      <c r="B829" s="4" t="s">
        <v>8639</v>
      </c>
      <c r="C829" s="5">
        <v>41489</v>
      </c>
      <c r="D829" s="5">
        <v>41549</v>
      </c>
      <c r="E829" s="4" t="s">
        <v>1410</v>
      </c>
      <c r="F829" s="4" t="s">
        <v>4459</v>
      </c>
    </row>
    <row r="830" spans="1:6" x14ac:dyDescent="0.25">
      <c r="A830" s="4" t="str">
        <f>CONCATENATE("3071-0000-9577","")</f>
        <v>3071-0000-9577</v>
      </c>
      <c r="B830" s="4" t="s">
        <v>8603</v>
      </c>
      <c r="C830" s="5">
        <v>41489</v>
      </c>
      <c r="D830" s="5">
        <v>41549</v>
      </c>
      <c r="E830" s="4" t="s">
        <v>1410</v>
      </c>
      <c r="F830" s="4" t="s">
        <v>4459</v>
      </c>
    </row>
    <row r="831" spans="1:6" x14ac:dyDescent="0.25">
      <c r="A831" s="4" t="str">
        <f>CONCATENATE("3071-0000-8984","")</f>
        <v>3071-0000-8984</v>
      </c>
      <c r="B831" s="4" t="s">
        <v>5346</v>
      </c>
      <c r="C831" s="5">
        <v>41489</v>
      </c>
      <c r="D831" s="5">
        <v>41549</v>
      </c>
      <c r="E831" s="4" t="s">
        <v>1410</v>
      </c>
      <c r="F831" s="4" t="s">
        <v>4616</v>
      </c>
    </row>
    <row r="832" spans="1:6" x14ac:dyDescent="0.25">
      <c r="A832" s="4" t="str">
        <f>CONCATENATE("3071-0000-3079","")</f>
        <v>3071-0000-3079</v>
      </c>
      <c r="B832" s="4" t="s">
        <v>1135</v>
      </c>
      <c r="C832" s="5">
        <v>41489</v>
      </c>
      <c r="D832" s="5">
        <v>41549</v>
      </c>
      <c r="E832" s="4" t="s">
        <v>7</v>
      </c>
      <c r="F832" s="4" t="s">
        <v>808</v>
      </c>
    </row>
    <row r="833" spans="1:6" x14ac:dyDescent="0.25">
      <c r="A833" s="4" t="str">
        <f>CONCATENATE("3071-0000-7366","")</f>
        <v>3071-0000-7366</v>
      </c>
      <c r="B833" s="4" t="s">
        <v>5091</v>
      </c>
      <c r="C833" s="5">
        <v>41489</v>
      </c>
      <c r="D833" s="5">
        <v>41549</v>
      </c>
      <c r="E833" s="4" t="s">
        <v>1410</v>
      </c>
      <c r="F833" s="4" t="s">
        <v>1410</v>
      </c>
    </row>
    <row r="834" spans="1:6" x14ac:dyDescent="0.25">
      <c r="A834" s="4" t="str">
        <f>CONCATENATE("3071-0000-9252","")</f>
        <v>3071-0000-9252</v>
      </c>
      <c r="B834" s="4" t="s">
        <v>8602</v>
      </c>
      <c r="C834" s="5">
        <v>41489</v>
      </c>
      <c r="D834" s="5">
        <v>41549</v>
      </c>
      <c r="E834" s="4" t="s">
        <v>5185</v>
      </c>
      <c r="F834" s="4" t="s">
        <v>5185</v>
      </c>
    </row>
    <row r="835" spans="1:6" x14ac:dyDescent="0.25">
      <c r="A835" s="4" t="str">
        <f>CONCATENATE("3071-0000-0840","")</f>
        <v>3071-0000-0840</v>
      </c>
      <c r="B835" s="4" t="s">
        <v>1914</v>
      </c>
      <c r="C835" s="5">
        <v>41489</v>
      </c>
      <c r="D835" s="5">
        <v>41549</v>
      </c>
      <c r="E835" s="4" t="s">
        <v>1857</v>
      </c>
      <c r="F835" s="4" t="s">
        <v>1857</v>
      </c>
    </row>
    <row r="836" spans="1:6" x14ac:dyDescent="0.25">
      <c r="A836" s="4" t="str">
        <f>CONCATENATE("3071-0000-6238","")</f>
        <v>3071-0000-6238</v>
      </c>
      <c r="B836" s="4" t="s">
        <v>7667</v>
      </c>
      <c r="C836" s="5">
        <v>41489</v>
      </c>
      <c r="D836" s="5">
        <v>41549</v>
      </c>
      <c r="E836" s="4" t="s">
        <v>1410</v>
      </c>
      <c r="F836" s="4" t="s">
        <v>1410</v>
      </c>
    </row>
    <row r="837" spans="1:6" x14ac:dyDescent="0.25">
      <c r="A837" s="4" t="str">
        <f>CONCATENATE("3071-0000-7254","")</f>
        <v>3071-0000-7254</v>
      </c>
      <c r="B837" s="4" t="s">
        <v>4899</v>
      </c>
      <c r="C837" s="5">
        <v>41489</v>
      </c>
      <c r="D837" s="5">
        <v>41549</v>
      </c>
      <c r="E837" s="4" t="s">
        <v>1410</v>
      </c>
      <c r="F837" s="4" t="s">
        <v>1410</v>
      </c>
    </row>
    <row r="838" spans="1:6" x14ac:dyDescent="0.25">
      <c r="A838" s="4" t="str">
        <f>CONCATENATE("3071-0000-3315","")</f>
        <v>3071-0000-3315</v>
      </c>
      <c r="B838" s="4" t="s">
        <v>1115</v>
      </c>
      <c r="C838" s="5">
        <v>41489</v>
      </c>
      <c r="D838" s="5">
        <v>41549</v>
      </c>
      <c r="E838" s="4" t="s">
        <v>7</v>
      </c>
      <c r="F838" s="4" t="s">
        <v>808</v>
      </c>
    </row>
    <row r="839" spans="1:6" x14ac:dyDescent="0.25">
      <c r="A839" s="4" t="str">
        <f>CONCATENATE("3071-0000-2840","")</f>
        <v>3071-0000-2840</v>
      </c>
      <c r="B839" s="4" t="s">
        <v>1114</v>
      </c>
      <c r="C839" s="5">
        <v>41489</v>
      </c>
      <c r="D839" s="5">
        <v>41549</v>
      </c>
      <c r="E839" s="4" t="s">
        <v>7</v>
      </c>
      <c r="F839" s="4" t="s">
        <v>808</v>
      </c>
    </row>
    <row r="840" spans="1:6" x14ac:dyDescent="0.25">
      <c r="A840" s="4" t="str">
        <f>CONCATENATE("3071-0000-3154","")</f>
        <v>3071-0000-3154</v>
      </c>
      <c r="B840" s="4" t="s">
        <v>1264</v>
      </c>
      <c r="C840" s="5">
        <v>41489</v>
      </c>
      <c r="D840" s="5">
        <v>41549</v>
      </c>
      <c r="E840" s="4" t="s">
        <v>7</v>
      </c>
      <c r="F840" s="4" t="s">
        <v>808</v>
      </c>
    </row>
    <row r="841" spans="1:6" x14ac:dyDescent="0.25">
      <c r="A841" s="4" t="str">
        <f>CONCATENATE("3071-0000-2948","")</f>
        <v>3071-0000-2948</v>
      </c>
      <c r="B841" s="4" t="s">
        <v>1308</v>
      </c>
      <c r="C841" s="5">
        <v>41489</v>
      </c>
      <c r="D841" s="5">
        <v>41549</v>
      </c>
      <c r="E841" s="4" t="s">
        <v>7</v>
      </c>
      <c r="F841" s="4" t="s">
        <v>808</v>
      </c>
    </row>
    <row r="842" spans="1:6" x14ac:dyDescent="0.25">
      <c r="A842" s="4" t="str">
        <f>CONCATENATE("3071-0000-2937","")</f>
        <v>3071-0000-2937</v>
      </c>
      <c r="B842" s="4" t="s">
        <v>1297</v>
      </c>
      <c r="C842" s="5">
        <v>41489</v>
      </c>
      <c r="D842" s="5">
        <v>41549</v>
      </c>
      <c r="E842" s="4" t="s">
        <v>7</v>
      </c>
      <c r="F842" s="4" t="s">
        <v>808</v>
      </c>
    </row>
    <row r="843" spans="1:6" x14ac:dyDescent="0.25">
      <c r="A843" s="4" t="str">
        <f>CONCATENATE("3071-0000-3160","")</f>
        <v>3071-0000-3160</v>
      </c>
      <c r="B843" s="4" t="s">
        <v>891</v>
      </c>
      <c r="C843" s="5">
        <v>41489</v>
      </c>
      <c r="D843" s="5">
        <v>41549</v>
      </c>
      <c r="E843" s="4" t="s">
        <v>7</v>
      </c>
      <c r="F843" s="4" t="s">
        <v>812</v>
      </c>
    </row>
    <row r="844" spans="1:6" x14ac:dyDescent="0.25">
      <c r="A844" s="4" t="str">
        <f>CONCATENATE("3071-0000-3746","")</f>
        <v>3071-0000-3746</v>
      </c>
      <c r="B844" s="4" t="s">
        <v>1599</v>
      </c>
      <c r="C844" s="5">
        <v>41489</v>
      </c>
      <c r="D844" s="5">
        <v>41549</v>
      </c>
      <c r="E844" s="4" t="s">
        <v>1410</v>
      </c>
      <c r="F844" s="4" t="s">
        <v>1411</v>
      </c>
    </row>
    <row r="845" spans="1:6" x14ac:dyDescent="0.25">
      <c r="A845" s="4" t="str">
        <f>CONCATENATE("3071-0000-3745","")</f>
        <v>3071-0000-3745</v>
      </c>
      <c r="B845" s="4" t="s">
        <v>1600</v>
      </c>
      <c r="C845" s="5">
        <v>41489</v>
      </c>
      <c r="D845" s="5">
        <v>41549</v>
      </c>
      <c r="E845" s="4" t="s">
        <v>1410</v>
      </c>
      <c r="F845" s="4" t="s">
        <v>1411</v>
      </c>
    </row>
    <row r="846" spans="1:6" x14ac:dyDescent="0.25">
      <c r="A846" s="4" t="str">
        <f>CONCATENATE("3071-0000-2896","")</f>
        <v>3071-0000-2896</v>
      </c>
      <c r="B846" s="4" t="s">
        <v>1200</v>
      </c>
      <c r="C846" s="5">
        <v>41489</v>
      </c>
      <c r="D846" s="5">
        <v>41549</v>
      </c>
      <c r="E846" s="4" t="s">
        <v>7</v>
      </c>
      <c r="F846" s="4" t="s">
        <v>808</v>
      </c>
    </row>
    <row r="847" spans="1:6" x14ac:dyDescent="0.25">
      <c r="A847" s="4" t="str">
        <f>CONCATENATE("3071-0000-3142","")</f>
        <v>3071-0000-3142</v>
      </c>
      <c r="B847" s="4" t="s">
        <v>1278</v>
      </c>
      <c r="C847" s="5">
        <v>41489</v>
      </c>
      <c r="D847" s="5">
        <v>41549</v>
      </c>
      <c r="E847" s="4" t="s">
        <v>7</v>
      </c>
      <c r="F847" s="4" t="s">
        <v>808</v>
      </c>
    </row>
    <row r="848" spans="1:6" x14ac:dyDescent="0.25">
      <c r="A848" s="4" t="str">
        <f>CONCATENATE("3071-0000-3002","")</f>
        <v>3071-0000-3002</v>
      </c>
      <c r="B848" s="4" t="s">
        <v>926</v>
      </c>
      <c r="C848" s="5">
        <v>41489</v>
      </c>
      <c r="D848" s="5">
        <v>41549</v>
      </c>
      <c r="E848" s="4" t="s">
        <v>7</v>
      </c>
      <c r="F848" s="4" t="s">
        <v>808</v>
      </c>
    </row>
    <row r="849" spans="1:6" x14ac:dyDescent="0.25">
      <c r="A849" s="4" t="str">
        <f>CONCATENATE("3071-0000-2989","")</f>
        <v>3071-0000-2989</v>
      </c>
      <c r="B849" s="4" t="s">
        <v>1219</v>
      </c>
      <c r="C849" s="5">
        <v>41489</v>
      </c>
      <c r="D849" s="5">
        <v>41549</v>
      </c>
      <c r="E849" s="4" t="s">
        <v>7</v>
      </c>
      <c r="F849" s="4" t="s">
        <v>808</v>
      </c>
    </row>
    <row r="850" spans="1:6" x14ac:dyDescent="0.25">
      <c r="A850" s="4" t="str">
        <f>CONCATENATE("3071-0000-2784","")</f>
        <v>3071-0000-2784</v>
      </c>
      <c r="B850" s="4" t="s">
        <v>956</v>
      </c>
      <c r="C850" s="5">
        <v>41489</v>
      </c>
      <c r="D850" s="5">
        <v>41549</v>
      </c>
      <c r="E850" s="4" t="s">
        <v>7</v>
      </c>
      <c r="F850" s="4" t="s">
        <v>808</v>
      </c>
    </row>
    <row r="851" spans="1:6" x14ac:dyDescent="0.25">
      <c r="A851" s="4" t="str">
        <f>CONCATENATE("3071-0000-8310","")</f>
        <v>3071-0000-8310</v>
      </c>
      <c r="B851" s="4" t="s">
        <v>5242</v>
      </c>
      <c r="C851" s="5">
        <v>41489</v>
      </c>
      <c r="D851" s="5">
        <v>41549</v>
      </c>
      <c r="E851" s="4" t="s">
        <v>5185</v>
      </c>
      <c r="F851" s="4" t="s">
        <v>5185</v>
      </c>
    </row>
    <row r="852" spans="1:6" x14ac:dyDescent="0.25">
      <c r="A852" s="4" t="str">
        <f>CONCATENATE("3071-0000-2973","")</f>
        <v>3071-0000-2973</v>
      </c>
      <c r="B852" s="4" t="s">
        <v>1194</v>
      </c>
      <c r="C852" s="5">
        <v>41489</v>
      </c>
      <c r="D852" s="5">
        <v>41549</v>
      </c>
      <c r="E852" s="4" t="s">
        <v>7</v>
      </c>
      <c r="F852" s="4" t="s">
        <v>808</v>
      </c>
    </row>
    <row r="853" spans="1:6" x14ac:dyDescent="0.25">
      <c r="A853" s="4" t="str">
        <f>CONCATENATE("3071-0000-3222","")</f>
        <v>3071-0000-3222</v>
      </c>
      <c r="B853" s="4" t="s">
        <v>899</v>
      </c>
      <c r="C853" s="5">
        <v>41489</v>
      </c>
      <c r="D853" s="5">
        <v>41549</v>
      </c>
      <c r="E853" s="4" t="s">
        <v>7</v>
      </c>
      <c r="F853" s="4" t="s">
        <v>808</v>
      </c>
    </row>
    <row r="854" spans="1:6" x14ac:dyDescent="0.25">
      <c r="A854" s="4" t="str">
        <f>CONCATENATE("3071-0000-2835","")</f>
        <v>3071-0000-2835</v>
      </c>
      <c r="B854" s="4" t="s">
        <v>1102</v>
      </c>
      <c r="C854" s="5">
        <v>41489</v>
      </c>
      <c r="D854" s="5">
        <v>41549</v>
      </c>
      <c r="E854" s="4" t="s">
        <v>7</v>
      </c>
      <c r="F854" s="4" t="s">
        <v>808</v>
      </c>
    </row>
    <row r="855" spans="1:6" x14ac:dyDescent="0.25">
      <c r="A855" s="4" t="str">
        <f>CONCATENATE("3071-0000-3277","")</f>
        <v>3071-0000-3277</v>
      </c>
      <c r="B855" s="4" t="s">
        <v>1139</v>
      </c>
      <c r="C855" s="5">
        <v>41489</v>
      </c>
      <c r="D855" s="5">
        <v>41549</v>
      </c>
      <c r="E855" s="4" t="s">
        <v>7</v>
      </c>
      <c r="F855" s="4" t="s">
        <v>808</v>
      </c>
    </row>
    <row r="856" spans="1:6" x14ac:dyDescent="0.25">
      <c r="A856" s="4" t="str">
        <f>CONCATENATE("3071-0000-9176","")</f>
        <v>3071-0000-9176</v>
      </c>
      <c r="B856" s="4" t="s">
        <v>6178</v>
      </c>
      <c r="C856" s="5">
        <v>41489</v>
      </c>
      <c r="D856" s="5">
        <v>41549</v>
      </c>
      <c r="E856" s="4" t="s">
        <v>5185</v>
      </c>
      <c r="F856" s="4" t="s">
        <v>5945</v>
      </c>
    </row>
    <row r="857" spans="1:6" x14ac:dyDescent="0.25">
      <c r="A857" s="4" t="str">
        <f>CONCATENATE("3071-0000-2996","")</f>
        <v>3071-0000-2996</v>
      </c>
      <c r="B857" s="4" t="s">
        <v>1393</v>
      </c>
      <c r="C857" s="5">
        <v>41489</v>
      </c>
      <c r="D857" s="5">
        <v>41549</v>
      </c>
      <c r="E857" s="4" t="s">
        <v>7</v>
      </c>
      <c r="F857" s="4" t="s">
        <v>808</v>
      </c>
    </row>
    <row r="858" spans="1:6" x14ac:dyDescent="0.25">
      <c r="A858" s="4" t="str">
        <f>CONCATENATE("3071-0000-2964","")</f>
        <v>3071-0000-2964</v>
      </c>
      <c r="B858" s="4" t="s">
        <v>991</v>
      </c>
      <c r="C858" s="5">
        <v>41489</v>
      </c>
      <c r="D858" s="5">
        <v>41549</v>
      </c>
      <c r="E858" s="4" t="s">
        <v>7</v>
      </c>
      <c r="F858" s="4" t="s">
        <v>808</v>
      </c>
    </row>
    <row r="859" spans="1:6" x14ac:dyDescent="0.25">
      <c r="A859" s="4" t="str">
        <f>CONCATENATE("3071-0000-8505","")</f>
        <v>3071-0000-8505</v>
      </c>
      <c r="B859" s="4" t="s">
        <v>6338</v>
      </c>
      <c r="C859" s="5">
        <v>41489</v>
      </c>
      <c r="D859" s="5">
        <v>41549</v>
      </c>
      <c r="E859" s="4" t="s">
        <v>5185</v>
      </c>
      <c r="F859" s="4" t="s">
        <v>5945</v>
      </c>
    </row>
    <row r="860" spans="1:6" x14ac:dyDescent="0.25">
      <c r="A860" s="4" t="str">
        <f>CONCATENATE("3071-0000-1290","")</f>
        <v>3071-0000-1290</v>
      </c>
      <c r="B860" s="4" t="s">
        <v>2400</v>
      </c>
      <c r="C860" s="5">
        <v>41489</v>
      </c>
      <c r="D860" s="5">
        <v>41549</v>
      </c>
      <c r="E860" s="4" t="s">
        <v>1381</v>
      </c>
      <c r="F860" s="4" t="s">
        <v>2303</v>
      </c>
    </row>
    <row r="861" spans="1:6" x14ac:dyDescent="0.25">
      <c r="A861" s="4" t="str">
        <f>CONCATENATE("3071-0000-0038","")</f>
        <v>3071-0000-0038</v>
      </c>
      <c r="B861" s="4" t="s">
        <v>68</v>
      </c>
      <c r="C861" s="5">
        <v>41489</v>
      </c>
      <c r="D861" s="5">
        <v>41549</v>
      </c>
      <c r="E861" s="4" t="s">
        <v>7</v>
      </c>
      <c r="F861" s="4" t="s">
        <v>7</v>
      </c>
    </row>
    <row r="862" spans="1:6" x14ac:dyDescent="0.25">
      <c r="A862" s="4" t="str">
        <f>CONCATENATE("3071-0000-3900","")</f>
        <v>3071-0000-3900</v>
      </c>
      <c r="B862" s="4" t="s">
        <v>4120</v>
      </c>
      <c r="C862" s="5">
        <v>41489</v>
      </c>
      <c r="D862" s="5">
        <v>41549</v>
      </c>
      <c r="E862" s="4" t="s">
        <v>2944</v>
      </c>
      <c r="F862" s="4" t="s">
        <v>3513</v>
      </c>
    </row>
    <row r="863" spans="1:6" x14ac:dyDescent="0.25">
      <c r="A863" s="4" t="str">
        <f>CONCATENATE("3071-0000-6178","")</f>
        <v>3071-0000-6178</v>
      </c>
      <c r="B863" s="4" t="s">
        <v>7691</v>
      </c>
      <c r="C863" s="5">
        <v>41489</v>
      </c>
      <c r="D863" s="5">
        <v>41549</v>
      </c>
      <c r="E863" s="4" t="s">
        <v>1410</v>
      </c>
      <c r="F863" s="4" t="s">
        <v>1410</v>
      </c>
    </row>
    <row r="864" spans="1:6" x14ac:dyDescent="0.25">
      <c r="A864" s="4" t="str">
        <f>CONCATENATE("3071-0000-0080","")</f>
        <v>3071-0000-0080</v>
      </c>
      <c r="B864" s="4" t="s">
        <v>146</v>
      </c>
      <c r="C864" s="5">
        <v>41489</v>
      </c>
      <c r="D864" s="5">
        <v>41549</v>
      </c>
      <c r="E864" s="4" t="s">
        <v>7</v>
      </c>
      <c r="F864" s="4" t="s">
        <v>7</v>
      </c>
    </row>
    <row r="865" spans="1:6" x14ac:dyDescent="0.25">
      <c r="A865" s="4" t="str">
        <f>CONCATENATE("3071-0000-6937","")</f>
        <v>3071-0000-6937</v>
      </c>
      <c r="B865" s="4" t="s">
        <v>4538</v>
      </c>
      <c r="C865" s="5">
        <v>41489</v>
      </c>
      <c r="D865" s="5">
        <v>41549</v>
      </c>
      <c r="E865" s="4" t="s">
        <v>1410</v>
      </c>
      <c r="F865" s="4" t="s">
        <v>1410</v>
      </c>
    </row>
    <row r="866" spans="1:6" x14ac:dyDescent="0.25">
      <c r="A866" s="4" t="str">
        <f>CONCATENATE("3071-0000-1609","")</f>
        <v>3071-0000-1609</v>
      </c>
      <c r="B866" s="4" t="s">
        <v>2495</v>
      </c>
      <c r="C866" s="5">
        <v>41489</v>
      </c>
      <c r="D866" s="5">
        <v>41549</v>
      </c>
      <c r="E866" s="4" t="s">
        <v>1381</v>
      </c>
      <c r="F866" s="4" t="s">
        <v>2303</v>
      </c>
    </row>
    <row r="867" spans="1:6" x14ac:dyDescent="0.25">
      <c r="A867" s="4" t="str">
        <f>CONCATENATE("3071-0000-7523","")</f>
        <v>3071-0000-7523</v>
      </c>
      <c r="B867" s="4" t="s">
        <v>4638</v>
      </c>
      <c r="C867" s="5">
        <v>41489</v>
      </c>
      <c r="D867" s="5">
        <v>41549</v>
      </c>
      <c r="E867" s="4" t="s">
        <v>1410</v>
      </c>
      <c r="F867" s="4" t="s">
        <v>1410</v>
      </c>
    </row>
    <row r="868" spans="1:6" x14ac:dyDescent="0.25">
      <c r="A868" s="4" t="str">
        <f>CONCATENATE("3071-0000-2052","")</f>
        <v>3071-0000-2052</v>
      </c>
      <c r="B868" s="4" t="s">
        <v>3398</v>
      </c>
      <c r="C868" s="5">
        <v>41489</v>
      </c>
      <c r="D868" s="5">
        <v>41549</v>
      </c>
      <c r="E868" s="4" t="s">
        <v>2944</v>
      </c>
      <c r="F868" s="4" t="s">
        <v>2945</v>
      </c>
    </row>
    <row r="869" spans="1:6" x14ac:dyDescent="0.25">
      <c r="A869" s="4" t="str">
        <f>CONCATENATE("3071-0000-1005","")</f>
        <v>3071-0000-1005</v>
      </c>
      <c r="B869" s="4" t="s">
        <v>2221</v>
      </c>
      <c r="C869" s="5">
        <v>41489</v>
      </c>
      <c r="D869" s="5">
        <v>41549</v>
      </c>
      <c r="E869" s="4" t="s">
        <v>1857</v>
      </c>
      <c r="F869" s="4" t="s">
        <v>1857</v>
      </c>
    </row>
    <row r="870" spans="1:6" x14ac:dyDescent="0.25">
      <c r="A870" s="4" t="str">
        <f>CONCATENATE("3071-0000-1790","")</f>
        <v>3071-0000-1790</v>
      </c>
      <c r="B870" s="4" t="s">
        <v>2755</v>
      </c>
      <c r="C870" s="5">
        <v>41489</v>
      </c>
      <c r="D870" s="5">
        <v>41549</v>
      </c>
      <c r="E870" s="4" t="s">
        <v>1381</v>
      </c>
      <c r="F870" s="4" t="s">
        <v>1382</v>
      </c>
    </row>
    <row r="871" spans="1:6" x14ac:dyDescent="0.25">
      <c r="A871" s="4" t="str">
        <f>CONCATENATE("3071-0000-5599","")</f>
        <v>3071-0000-5599</v>
      </c>
      <c r="B871" s="4" t="s">
        <v>7135</v>
      </c>
      <c r="C871" s="5">
        <v>41489</v>
      </c>
      <c r="D871" s="5">
        <v>41549</v>
      </c>
      <c r="E871" s="4" t="s">
        <v>5185</v>
      </c>
      <c r="F871" s="4" t="s">
        <v>5185</v>
      </c>
    </row>
    <row r="872" spans="1:6" x14ac:dyDescent="0.25">
      <c r="A872" s="4" t="str">
        <f>CONCATENATE("3071-0000-5752","")</f>
        <v>3071-0000-5752</v>
      </c>
      <c r="B872" s="4" t="s">
        <v>7145</v>
      </c>
      <c r="C872" s="5">
        <v>41489</v>
      </c>
      <c r="D872" s="5">
        <v>41549</v>
      </c>
      <c r="E872" s="4" t="s">
        <v>5185</v>
      </c>
      <c r="F872" s="4" t="s">
        <v>5185</v>
      </c>
    </row>
    <row r="873" spans="1:6" x14ac:dyDescent="0.25">
      <c r="A873" s="4" t="str">
        <f>CONCATENATE("3071-0000-5756","")</f>
        <v>3071-0000-5756</v>
      </c>
      <c r="B873" s="4" t="s">
        <v>7160</v>
      </c>
      <c r="C873" s="5">
        <v>41489</v>
      </c>
      <c r="D873" s="5">
        <v>41549</v>
      </c>
      <c r="E873" s="4" t="s">
        <v>7069</v>
      </c>
      <c r="F873" s="4" t="s">
        <v>7120</v>
      </c>
    </row>
    <row r="874" spans="1:6" x14ac:dyDescent="0.25">
      <c r="A874" s="4" t="str">
        <f>CONCATENATE("3071-0000-5753","")</f>
        <v>3071-0000-5753</v>
      </c>
      <c r="B874" s="4" t="s">
        <v>7146</v>
      </c>
      <c r="C874" s="5">
        <v>41489</v>
      </c>
      <c r="D874" s="5">
        <v>41549</v>
      </c>
      <c r="E874" s="4" t="s">
        <v>5185</v>
      </c>
      <c r="F874" s="4" t="s">
        <v>5185</v>
      </c>
    </row>
    <row r="875" spans="1:6" x14ac:dyDescent="0.25">
      <c r="A875" s="4" t="str">
        <f>CONCATENATE("3071-0000-5831","")</f>
        <v>3071-0000-5831</v>
      </c>
      <c r="B875" s="4" t="s">
        <v>7151</v>
      </c>
      <c r="C875" s="5">
        <v>41489</v>
      </c>
      <c r="D875" s="5">
        <v>41549</v>
      </c>
      <c r="E875" s="4" t="s">
        <v>5185</v>
      </c>
      <c r="F875" s="4" t="s">
        <v>5185</v>
      </c>
    </row>
    <row r="876" spans="1:6" x14ac:dyDescent="0.25">
      <c r="A876" s="4" t="str">
        <f>CONCATENATE("3071-0000-5648","")</f>
        <v>3071-0000-5648</v>
      </c>
      <c r="B876" s="4" t="s">
        <v>7273</v>
      </c>
      <c r="C876" s="5">
        <v>41489</v>
      </c>
      <c r="D876" s="5">
        <v>41549</v>
      </c>
      <c r="E876" s="4" t="s">
        <v>5185</v>
      </c>
      <c r="F876" s="4" t="s">
        <v>5185</v>
      </c>
    </row>
    <row r="877" spans="1:6" x14ac:dyDescent="0.25">
      <c r="A877" s="4" t="str">
        <f>CONCATENATE("3071-0000-5965","")</f>
        <v>3071-0000-5965</v>
      </c>
      <c r="B877" s="4" t="s">
        <v>7282</v>
      </c>
      <c r="C877" s="5">
        <v>41489</v>
      </c>
      <c r="D877" s="5">
        <v>41549</v>
      </c>
      <c r="E877" s="4" t="s">
        <v>5185</v>
      </c>
      <c r="F877" s="4" t="s">
        <v>5185</v>
      </c>
    </row>
    <row r="878" spans="1:6" x14ac:dyDescent="0.25">
      <c r="A878" s="4" t="str">
        <f>CONCATENATE("3071-0000-5629","")</f>
        <v>3071-0000-5629</v>
      </c>
      <c r="B878" s="4" t="s">
        <v>7250</v>
      </c>
      <c r="C878" s="5">
        <v>41489</v>
      </c>
      <c r="D878" s="5">
        <v>41549</v>
      </c>
      <c r="E878" s="4" t="s">
        <v>5185</v>
      </c>
      <c r="F878" s="4" t="s">
        <v>5185</v>
      </c>
    </row>
    <row r="879" spans="1:6" x14ac:dyDescent="0.25">
      <c r="A879" s="4" t="str">
        <f>CONCATENATE("3071-0000-5641","")</f>
        <v>3071-0000-5641</v>
      </c>
      <c r="B879" s="4" t="s">
        <v>7265</v>
      </c>
      <c r="C879" s="5">
        <v>41489</v>
      </c>
      <c r="D879" s="5">
        <v>41549</v>
      </c>
      <c r="E879" s="4" t="s">
        <v>5185</v>
      </c>
      <c r="F879" s="4" t="s">
        <v>5185</v>
      </c>
    </row>
    <row r="880" spans="1:6" x14ac:dyDescent="0.25">
      <c r="A880" s="4" t="str">
        <f>CONCATENATE("3071-0000-1629","")</f>
        <v>3071-0000-1629</v>
      </c>
      <c r="B880" s="4" t="s">
        <v>2751</v>
      </c>
      <c r="C880" s="5">
        <v>41489</v>
      </c>
      <c r="D880" s="5">
        <v>41549</v>
      </c>
      <c r="E880" s="4" t="s">
        <v>1381</v>
      </c>
      <c r="F880" s="4" t="s">
        <v>2303</v>
      </c>
    </row>
    <row r="881" spans="1:6" x14ac:dyDescent="0.25">
      <c r="A881" s="4" t="str">
        <f>CONCATENATE("3071-0000-5644","")</f>
        <v>3071-0000-5644</v>
      </c>
      <c r="B881" s="4" t="s">
        <v>7270</v>
      </c>
      <c r="C881" s="5">
        <v>41489</v>
      </c>
      <c r="D881" s="5">
        <v>41549</v>
      </c>
      <c r="E881" s="4" t="s">
        <v>5185</v>
      </c>
      <c r="F881" s="4" t="s">
        <v>5185</v>
      </c>
    </row>
    <row r="882" spans="1:6" x14ac:dyDescent="0.25">
      <c r="A882" s="4" t="str">
        <f>CONCATENATE("3071-0000-5755","")</f>
        <v>3071-0000-5755</v>
      </c>
      <c r="B882" s="4" t="s">
        <v>7170</v>
      </c>
      <c r="C882" s="5">
        <v>41489</v>
      </c>
      <c r="D882" s="5">
        <v>41549</v>
      </c>
      <c r="E882" s="4" t="s">
        <v>5185</v>
      </c>
      <c r="F882" s="4" t="s">
        <v>5185</v>
      </c>
    </row>
    <row r="883" spans="1:6" x14ac:dyDescent="0.25">
      <c r="A883" s="4" t="str">
        <f>CONCATENATE("3071-0000-5632","")</f>
        <v>3071-0000-5632</v>
      </c>
      <c r="B883" s="4" t="s">
        <v>7254</v>
      </c>
      <c r="C883" s="5">
        <v>41489</v>
      </c>
      <c r="D883" s="5">
        <v>41549</v>
      </c>
      <c r="E883" s="4" t="s">
        <v>5185</v>
      </c>
      <c r="F883" s="4" t="s">
        <v>5185</v>
      </c>
    </row>
    <row r="884" spans="1:6" x14ac:dyDescent="0.25">
      <c r="A884" s="4" t="str">
        <f>CONCATENATE("3071-0000-2046","")</f>
        <v>3071-0000-2046</v>
      </c>
      <c r="B884" s="4" t="s">
        <v>3348</v>
      </c>
      <c r="C884" s="5">
        <v>41489</v>
      </c>
      <c r="D884" s="5">
        <v>41549</v>
      </c>
      <c r="E884" s="4" t="s">
        <v>2944</v>
      </c>
      <c r="F884" s="4" t="s">
        <v>2945</v>
      </c>
    </row>
    <row r="885" spans="1:6" x14ac:dyDescent="0.25">
      <c r="A885" s="4" t="str">
        <f>CONCATENATE("3071-0000-1149","")</f>
        <v>3071-0000-1149</v>
      </c>
      <c r="B885" s="4" t="s">
        <v>2152</v>
      </c>
      <c r="C885" s="5">
        <v>41489</v>
      </c>
      <c r="D885" s="5">
        <v>41549</v>
      </c>
      <c r="E885" s="4" t="s">
        <v>1857</v>
      </c>
      <c r="F885" s="4" t="s">
        <v>2144</v>
      </c>
    </row>
    <row r="886" spans="1:6" x14ac:dyDescent="0.25">
      <c r="A886" s="4" t="str">
        <f>CONCATENATE("3071-0000-5637","")</f>
        <v>3071-0000-5637</v>
      </c>
      <c r="B886" s="4" t="s">
        <v>7260</v>
      </c>
      <c r="C886" s="5">
        <v>41489</v>
      </c>
      <c r="D886" s="5">
        <v>41549</v>
      </c>
      <c r="E886" s="4" t="s">
        <v>5185</v>
      </c>
      <c r="F886" s="4" t="s">
        <v>5185</v>
      </c>
    </row>
    <row r="887" spans="1:6" x14ac:dyDescent="0.25">
      <c r="A887" s="4" t="str">
        <f>CONCATENATE("3071-0000-1131","")</f>
        <v>3071-0000-1131</v>
      </c>
      <c r="B887" s="4" t="s">
        <v>2097</v>
      </c>
      <c r="C887" s="5">
        <v>41489</v>
      </c>
      <c r="D887" s="5">
        <v>41549</v>
      </c>
      <c r="E887" s="4" t="s">
        <v>1857</v>
      </c>
      <c r="F887" s="4" t="s">
        <v>2052</v>
      </c>
    </row>
    <row r="888" spans="1:6" x14ac:dyDescent="0.25">
      <c r="A888" s="4" t="str">
        <f>CONCATENATE("3071-0000-4431","")</f>
        <v>3071-0000-4431</v>
      </c>
      <c r="B888" s="4" t="s">
        <v>9302</v>
      </c>
      <c r="C888" s="5">
        <v>41489</v>
      </c>
      <c r="D888" s="5">
        <v>41549</v>
      </c>
      <c r="E888" s="4" t="s">
        <v>1410</v>
      </c>
      <c r="F888" s="4" t="s">
        <v>8696</v>
      </c>
    </row>
    <row r="889" spans="1:6" x14ac:dyDescent="0.25">
      <c r="A889" s="4" t="str">
        <f>CONCATENATE("3071-0000-5055","")</f>
        <v>3071-0000-5055</v>
      </c>
      <c r="B889" s="4" t="s">
        <v>9464</v>
      </c>
      <c r="C889" s="5">
        <v>41489</v>
      </c>
      <c r="D889" s="5">
        <v>41549</v>
      </c>
      <c r="E889" s="4" t="s">
        <v>7069</v>
      </c>
      <c r="F889" s="4" t="s">
        <v>9210</v>
      </c>
    </row>
    <row r="890" spans="1:6" x14ac:dyDescent="0.25">
      <c r="A890" s="4" t="str">
        <f>CONCATENATE("3071-0000-4364","")</f>
        <v>3071-0000-4364</v>
      </c>
      <c r="B890" s="4" t="s">
        <v>9431</v>
      </c>
      <c r="C890" s="5">
        <v>41489</v>
      </c>
      <c r="D890" s="5">
        <v>41549</v>
      </c>
      <c r="E890" s="4" t="s">
        <v>7069</v>
      </c>
      <c r="F890" s="4" t="s">
        <v>9210</v>
      </c>
    </row>
    <row r="891" spans="1:6" x14ac:dyDescent="0.25">
      <c r="A891" s="4" t="str">
        <f>CONCATENATE("3071-0000-6557","")</f>
        <v>3071-0000-6557</v>
      </c>
      <c r="B891" s="4" t="s">
        <v>7806</v>
      </c>
      <c r="C891" s="5">
        <v>41489</v>
      </c>
      <c r="D891" s="5">
        <v>41549</v>
      </c>
      <c r="E891" s="4" t="s">
        <v>5185</v>
      </c>
      <c r="F891" s="4" t="s">
        <v>5185</v>
      </c>
    </row>
    <row r="892" spans="1:6" x14ac:dyDescent="0.25">
      <c r="A892" s="4" t="str">
        <f>CONCATENATE("3071-0000-5083","")</f>
        <v>3071-0000-5083</v>
      </c>
      <c r="B892" s="4" t="s">
        <v>9237</v>
      </c>
      <c r="C892" s="5">
        <v>41489</v>
      </c>
      <c r="D892" s="5">
        <v>41549</v>
      </c>
      <c r="E892" s="4" t="s">
        <v>7069</v>
      </c>
      <c r="F892" s="4" t="s">
        <v>9210</v>
      </c>
    </row>
    <row r="893" spans="1:6" x14ac:dyDescent="0.25">
      <c r="A893" s="4" t="str">
        <f>CONCATENATE("3071-0000-5790","")</f>
        <v>3071-0000-5790</v>
      </c>
      <c r="B893" s="4" t="s">
        <v>7130</v>
      </c>
      <c r="C893" s="5">
        <v>41489</v>
      </c>
      <c r="D893" s="5">
        <v>41549</v>
      </c>
      <c r="E893" s="4" t="s">
        <v>5185</v>
      </c>
      <c r="F893" s="4" t="s">
        <v>5185</v>
      </c>
    </row>
    <row r="894" spans="1:6" x14ac:dyDescent="0.25">
      <c r="A894" s="4" t="str">
        <f>CONCATENATE("3071-0000-3925","")</f>
        <v>3071-0000-3925</v>
      </c>
      <c r="B894" s="4" t="s">
        <v>4073</v>
      </c>
      <c r="C894" s="5">
        <v>41489</v>
      </c>
      <c r="D894" s="5">
        <v>41549</v>
      </c>
      <c r="E894" s="4" t="s">
        <v>1381</v>
      </c>
      <c r="F894" s="4" t="s">
        <v>4057</v>
      </c>
    </row>
    <row r="895" spans="1:6" x14ac:dyDescent="0.25">
      <c r="A895" s="4" t="str">
        <f>CONCATENATE("3071-0000-3412","")</f>
        <v>3071-0000-3412</v>
      </c>
      <c r="B895" s="4" t="s">
        <v>1591</v>
      </c>
      <c r="C895" s="5">
        <v>41489</v>
      </c>
      <c r="D895" s="5">
        <v>41549</v>
      </c>
      <c r="E895" s="4" t="s">
        <v>1410</v>
      </c>
      <c r="F895" s="4" t="s">
        <v>1411</v>
      </c>
    </row>
    <row r="896" spans="1:6" x14ac:dyDescent="0.25">
      <c r="A896" s="4" t="str">
        <f>CONCATENATE("3071-0000-0161","")</f>
        <v>3071-0000-0161</v>
      </c>
      <c r="B896" s="4" t="s">
        <v>341</v>
      </c>
      <c r="C896" s="5">
        <v>41489</v>
      </c>
      <c r="D896" s="5">
        <v>41549</v>
      </c>
      <c r="E896" s="4" t="s">
        <v>7</v>
      </c>
      <c r="F896" s="4" t="s">
        <v>7</v>
      </c>
    </row>
    <row r="897" spans="1:6" x14ac:dyDescent="0.25">
      <c r="A897" s="4" t="str">
        <f>CONCATENATE("3071-0000-7570","")</f>
        <v>3071-0000-7570</v>
      </c>
      <c r="B897" s="4" t="s">
        <v>4385</v>
      </c>
      <c r="C897" s="5">
        <v>41489</v>
      </c>
      <c r="D897" s="5">
        <v>41549</v>
      </c>
      <c r="E897" s="4" t="s">
        <v>1410</v>
      </c>
      <c r="F897" s="4" t="s">
        <v>1410</v>
      </c>
    </row>
    <row r="898" spans="1:6" x14ac:dyDescent="0.25">
      <c r="A898" s="4" t="str">
        <f>CONCATENATE("3071-0000-7564","")</f>
        <v>3071-0000-7564</v>
      </c>
      <c r="B898" s="4" t="s">
        <v>4373</v>
      </c>
      <c r="C898" s="5">
        <v>41489</v>
      </c>
      <c r="D898" s="5">
        <v>41549</v>
      </c>
      <c r="E898" s="4" t="s">
        <v>1410</v>
      </c>
      <c r="F898" s="4" t="s">
        <v>1410</v>
      </c>
    </row>
    <row r="899" spans="1:6" x14ac:dyDescent="0.25">
      <c r="A899" s="4" t="str">
        <f>CONCATENATE("3071-0000-0206","")</f>
        <v>3071-0000-0206</v>
      </c>
      <c r="B899" s="4" t="s">
        <v>442</v>
      </c>
      <c r="C899" s="5">
        <v>41489</v>
      </c>
      <c r="D899" s="5">
        <v>41549</v>
      </c>
      <c r="E899" s="4" t="s">
        <v>7</v>
      </c>
      <c r="F899" s="4" t="s">
        <v>7</v>
      </c>
    </row>
    <row r="900" spans="1:6" x14ac:dyDescent="0.25">
      <c r="A900" s="4" t="str">
        <f>CONCATENATE("3071-0000-2467","")</f>
        <v>3071-0000-2467</v>
      </c>
      <c r="B900" s="4" t="s">
        <v>3135</v>
      </c>
      <c r="C900" s="5">
        <v>41489</v>
      </c>
      <c r="D900" s="5">
        <v>41549</v>
      </c>
      <c r="E900" s="4" t="s">
        <v>2944</v>
      </c>
      <c r="F900" s="4" t="s">
        <v>3115</v>
      </c>
    </row>
    <row r="901" spans="1:6" x14ac:dyDescent="0.25">
      <c r="A901" s="4" t="str">
        <f>CONCATENATE("3071-0000-2383","")</f>
        <v>3071-0000-2383</v>
      </c>
      <c r="B901" s="4" t="s">
        <v>3566</v>
      </c>
      <c r="C901" s="5">
        <v>41489</v>
      </c>
      <c r="D901" s="5">
        <v>41549</v>
      </c>
      <c r="E901" s="4" t="s">
        <v>2944</v>
      </c>
      <c r="F901" s="4" t="s">
        <v>3515</v>
      </c>
    </row>
    <row r="902" spans="1:6" x14ac:dyDescent="0.25">
      <c r="A902" s="4" t="str">
        <f>CONCATENATE("3071-0000-2242","")</f>
        <v>3071-0000-2242</v>
      </c>
      <c r="B902" s="4" t="s">
        <v>3766</v>
      </c>
      <c r="C902" s="5">
        <v>41489</v>
      </c>
      <c r="D902" s="5">
        <v>41549</v>
      </c>
      <c r="E902" s="4" t="s">
        <v>2944</v>
      </c>
      <c r="F902" s="4" t="s">
        <v>2945</v>
      </c>
    </row>
    <row r="903" spans="1:6" x14ac:dyDescent="0.25">
      <c r="A903" s="4" t="str">
        <f>CONCATENATE("3071-0000-2063","")</f>
        <v>3071-0000-2063</v>
      </c>
      <c r="B903" s="4" t="s">
        <v>3435</v>
      </c>
      <c r="C903" s="5">
        <v>41489</v>
      </c>
      <c r="D903" s="5">
        <v>41549</v>
      </c>
      <c r="E903" s="4" t="s">
        <v>2944</v>
      </c>
      <c r="F903" s="4" t="s">
        <v>2945</v>
      </c>
    </row>
    <row r="904" spans="1:6" x14ac:dyDescent="0.25">
      <c r="A904" s="4" t="str">
        <f>CONCATENATE("3071-0000-2727","")</f>
        <v>3071-0000-2727</v>
      </c>
      <c r="B904" s="4" t="s">
        <v>3756</v>
      </c>
      <c r="C904" s="5">
        <v>41489</v>
      </c>
      <c r="D904" s="5">
        <v>41549</v>
      </c>
      <c r="E904" s="4" t="s">
        <v>2944</v>
      </c>
      <c r="F904" s="4" t="s">
        <v>3115</v>
      </c>
    </row>
    <row r="905" spans="1:6" x14ac:dyDescent="0.25">
      <c r="A905" s="4" t="str">
        <f>CONCATENATE("3071-0000-2612","")</f>
        <v>3071-0000-2612</v>
      </c>
      <c r="B905" s="4" t="s">
        <v>3763</v>
      </c>
      <c r="C905" s="5">
        <v>41489</v>
      </c>
      <c r="D905" s="5">
        <v>41549</v>
      </c>
      <c r="E905" s="4" t="s">
        <v>2944</v>
      </c>
      <c r="F905" s="4" t="s">
        <v>3115</v>
      </c>
    </row>
    <row r="906" spans="1:6" x14ac:dyDescent="0.25">
      <c r="A906" s="4" t="str">
        <f>CONCATENATE("3071-0000-2470","")</f>
        <v>3071-0000-2470</v>
      </c>
      <c r="B906" s="4" t="s">
        <v>3765</v>
      </c>
      <c r="C906" s="5">
        <v>41489</v>
      </c>
      <c r="D906" s="5">
        <v>41549</v>
      </c>
      <c r="E906" s="4" t="s">
        <v>2944</v>
      </c>
      <c r="F906" s="4" t="s">
        <v>3115</v>
      </c>
    </row>
    <row r="907" spans="1:6" x14ac:dyDescent="0.25">
      <c r="A907" s="4" t="str">
        <f>CONCATENATE("3071-0000-7168","")</f>
        <v>3071-0000-7168</v>
      </c>
      <c r="B907" s="4" t="s">
        <v>5072</v>
      </c>
      <c r="C907" s="5">
        <v>41489</v>
      </c>
      <c r="D907" s="5">
        <v>41549</v>
      </c>
      <c r="E907" s="4" t="s">
        <v>1410</v>
      </c>
      <c r="F907" s="4" t="s">
        <v>1410</v>
      </c>
    </row>
    <row r="908" spans="1:6" x14ac:dyDescent="0.25">
      <c r="A908" s="4" t="str">
        <f>CONCATENATE("3071-0000-0821","")</f>
        <v>3071-0000-0821</v>
      </c>
      <c r="B908" s="4" t="s">
        <v>1880</v>
      </c>
      <c r="C908" s="5">
        <v>41489</v>
      </c>
      <c r="D908" s="5">
        <v>41549</v>
      </c>
      <c r="E908" s="4" t="s">
        <v>1857</v>
      </c>
      <c r="F908" s="4" t="s">
        <v>1857</v>
      </c>
    </row>
    <row r="909" spans="1:6" x14ac:dyDescent="0.25">
      <c r="A909" s="4" t="str">
        <f>CONCATENATE("3071-0000-0043","")</f>
        <v>3071-0000-0043</v>
      </c>
      <c r="B909" s="4" t="s">
        <v>79</v>
      </c>
      <c r="C909" s="5">
        <v>41489</v>
      </c>
      <c r="D909" s="5">
        <v>41549</v>
      </c>
      <c r="E909" s="4" t="s">
        <v>7</v>
      </c>
      <c r="F909" s="4" t="s">
        <v>7</v>
      </c>
    </row>
    <row r="910" spans="1:6" x14ac:dyDescent="0.25">
      <c r="A910" s="4" t="str">
        <f>CONCATENATE("3071-0000-0881","")</f>
        <v>3071-0000-0881</v>
      </c>
      <c r="B910" s="4" t="s">
        <v>2016</v>
      </c>
      <c r="C910" s="5">
        <v>41489</v>
      </c>
      <c r="D910" s="5">
        <v>41549</v>
      </c>
      <c r="E910" s="4" t="s">
        <v>1857</v>
      </c>
      <c r="F910" s="4" t="s">
        <v>1857</v>
      </c>
    </row>
    <row r="911" spans="1:6" x14ac:dyDescent="0.25">
      <c r="A911" s="4" t="str">
        <f>CONCATENATE("3071-0000-0480","")</f>
        <v>3071-0000-0480</v>
      </c>
      <c r="B911" s="4" t="s">
        <v>702</v>
      </c>
      <c r="C911" s="5">
        <v>41489</v>
      </c>
      <c r="D911" s="5">
        <v>41549</v>
      </c>
      <c r="E911" s="4" t="s">
        <v>7</v>
      </c>
      <c r="F911" s="4" t="s">
        <v>7</v>
      </c>
    </row>
    <row r="912" spans="1:6" x14ac:dyDescent="0.25">
      <c r="A912" s="4" t="str">
        <f>CONCATENATE("3071-0000-4199","")</f>
        <v>3071-0000-4199</v>
      </c>
      <c r="B912" s="4" t="s">
        <v>3853</v>
      </c>
      <c r="C912" s="5">
        <v>41489</v>
      </c>
      <c r="D912" s="5">
        <v>41549</v>
      </c>
      <c r="E912" s="4" t="s">
        <v>7</v>
      </c>
      <c r="F912" s="4" t="s">
        <v>3818</v>
      </c>
    </row>
    <row r="913" spans="1:6" x14ac:dyDescent="0.25">
      <c r="A913" s="4" t="str">
        <f>CONCATENATE("3071-0000-3071","")</f>
        <v>3071-0000-3071</v>
      </c>
      <c r="B913" s="4" t="s">
        <v>990</v>
      </c>
      <c r="C913" s="5">
        <v>41489</v>
      </c>
      <c r="D913" s="5">
        <v>41549</v>
      </c>
      <c r="E913" s="4" t="s">
        <v>7</v>
      </c>
      <c r="F913" s="4" t="s">
        <v>808</v>
      </c>
    </row>
    <row r="914" spans="1:6" x14ac:dyDescent="0.25">
      <c r="A914" s="4" t="str">
        <f>CONCATENATE("3071-0000-1289","")</f>
        <v>3071-0000-1289</v>
      </c>
      <c r="B914" s="4" t="s">
        <v>2399</v>
      </c>
      <c r="C914" s="5">
        <v>41489</v>
      </c>
      <c r="D914" s="5">
        <v>41549</v>
      </c>
      <c r="E914" s="4" t="s">
        <v>1381</v>
      </c>
      <c r="F914" s="4" t="s">
        <v>2303</v>
      </c>
    </row>
    <row r="915" spans="1:6" x14ac:dyDescent="0.25">
      <c r="A915" s="4" t="str">
        <f>CONCATENATE("3071-0000-4281","")</f>
        <v>3071-0000-4281</v>
      </c>
      <c r="B915" s="4" t="s">
        <v>8905</v>
      </c>
      <c r="C915" s="5">
        <v>41489</v>
      </c>
      <c r="D915" s="5">
        <v>41549</v>
      </c>
      <c r="E915" s="4" t="s">
        <v>1410</v>
      </c>
      <c r="F915" s="4" t="s">
        <v>8696</v>
      </c>
    </row>
    <row r="916" spans="1:6" x14ac:dyDescent="0.25">
      <c r="A916" s="4" t="str">
        <f>CONCATENATE("3071-0000-5896","")</f>
        <v>3071-0000-5896</v>
      </c>
      <c r="B916" s="4" t="s">
        <v>7585</v>
      </c>
      <c r="C916" s="5">
        <v>41489</v>
      </c>
      <c r="D916" s="5">
        <v>41549</v>
      </c>
      <c r="E916" s="4" t="s">
        <v>5185</v>
      </c>
      <c r="F916" s="4" t="s">
        <v>5185</v>
      </c>
    </row>
    <row r="917" spans="1:6" x14ac:dyDescent="0.25">
      <c r="A917" s="4" t="str">
        <f>CONCATENATE("3071-0000-1701","")</f>
        <v>3071-0000-1701</v>
      </c>
      <c r="B917" s="4" t="s">
        <v>2313</v>
      </c>
      <c r="C917" s="5">
        <v>41489</v>
      </c>
      <c r="D917" s="5">
        <v>41549</v>
      </c>
      <c r="E917" s="4" t="s">
        <v>1381</v>
      </c>
      <c r="F917" s="4" t="s">
        <v>2301</v>
      </c>
    </row>
    <row r="918" spans="1:6" x14ac:dyDescent="0.25">
      <c r="A918" s="4" t="str">
        <f>CONCATENATE("3071-0000-0139","")</f>
        <v>3071-0000-0139</v>
      </c>
      <c r="B918" s="4" t="s">
        <v>305</v>
      </c>
      <c r="C918" s="5">
        <v>41489</v>
      </c>
      <c r="D918" s="5">
        <v>41549</v>
      </c>
      <c r="E918" s="4" t="s">
        <v>7</v>
      </c>
      <c r="F918" s="4" t="s">
        <v>7</v>
      </c>
    </row>
    <row r="919" spans="1:6" x14ac:dyDescent="0.25">
      <c r="A919" s="4" t="str">
        <f>CONCATENATE("3071-0000-1912","")</f>
        <v>3071-0000-1912</v>
      </c>
      <c r="B919" s="4" t="s">
        <v>2976</v>
      </c>
      <c r="C919" s="5">
        <v>41489</v>
      </c>
      <c r="D919" s="5">
        <v>41549</v>
      </c>
      <c r="E919" s="4" t="s">
        <v>2944</v>
      </c>
      <c r="F919" s="4" t="s">
        <v>2945</v>
      </c>
    </row>
    <row r="920" spans="1:6" x14ac:dyDescent="0.25">
      <c r="A920" s="4" t="str">
        <f>CONCATENATE("3071-0000-1796","")</f>
        <v>3071-0000-1796</v>
      </c>
      <c r="B920" s="4" t="s">
        <v>2314</v>
      </c>
      <c r="C920" s="5">
        <v>41489</v>
      </c>
      <c r="D920" s="5">
        <v>41549</v>
      </c>
      <c r="E920" s="4" t="s">
        <v>1381</v>
      </c>
      <c r="F920" s="4" t="s">
        <v>2301</v>
      </c>
    </row>
    <row r="921" spans="1:6" x14ac:dyDescent="0.25">
      <c r="A921" s="4" t="str">
        <f>CONCATENATE("3071-0000-7305","")</f>
        <v>3071-0000-7305</v>
      </c>
      <c r="B921" s="4" t="s">
        <v>4546</v>
      </c>
      <c r="C921" s="5">
        <v>41489</v>
      </c>
      <c r="D921" s="5">
        <v>41549</v>
      </c>
      <c r="E921" s="4" t="s">
        <v>1410</v>
      </c>
      <c r="F921" s="4" t="s">
        <v>1410</v>
      </c>
    </row>
    <row r="922" spans="1:6" x14ac:dyDescent="0.25">
      <c r="A922" s="4" t="str">
        <f>CONCATENATE("3071-0000-2732","")</f>
        <v>3071-0000-2732</v>
      </c>
      <c r="B922" s="4" t="s">
        <v>813</v>
      </c>
      <c r="C922" s="5">
        <v>41489</v>
      </c>
      <c r="D922" s="5">
        <v>41549</v>
      </c>
      <c r="E922" s="4" t="s">
        <v>7</v>
      </c>
      <c r="F922" s="4" t="s">
        <v>808</v>
      </c>
    </row>
    <row r="923" spans="1:6" x14ac:dyDescent="0.25">
      <c r="A923" s="4" t="str">
        <f>CONCATENATE("3071-0000-1161","")</f>
        <v>3071-0000-1161</v>
      </c>
      <c r="B923" s="4" t="s">
        <v>2096</v>
      </c>
      <c r="C923" s="5">
        <v>41489</v>
      </c>
      <c r="D923" s="5">
        <v>41549</v>
      </c>
      <c r="E923" s="4" t="s">
        <v>1857</v>
      </c>
      <c r="F923" s="4" t="s">
        <v>2052</v>
      </c>
    </row>
    <row r="924" spans="1:6" x14ac:dyDescent="0.25">
      <c r="A924" s="4" t="str">
        <f>CONCATENATE("3071-0000-0332","")</f>
        <v>3071-0000-0332</v>
      </c>
      <c r="B924" s="4" t="s">
        <v>583</v>
      </c>
      <c r="C924" s="5">
        <v>41489</v>
      </c>
      <c r="D924" s="5">
        <v>41549</v>
      </c>
      <c r="E924" s="4" t="s">
        <v>7</v>
      </c>
      <c r="F924" s="4" t="s">
        <v>7</v>
      </c>
    </row>
    <row r="925" spans="1:6" x14ac:dyDescent="0.25">
      <c r="A925" s="4" t="str">
        <f>CONCATENATE("3071-0000-1489","")</f>
        <v>3071-0000-1489</v>
      </c>
      <c r="B925" s="4" t="s">
        <v>2834</v>
      </c>
      <c r="C925" s="5">
        <v>41489</v>
      </c>
      <c r="D925" s="5">
        <v>41549</v>
      </c>
      <c r="E925" s="4" t="s">
        <v>1381</v>
      </c>
      <c r="F925" s="4" t="s">
        <v>2303</v>
      </c>
    </row>
    <row r="926" spans="1:6" x14ac:dyDescent="0.25">
      <c r="A926" s="4" t="str">
        <f>CONCATENATE("3071-0000-0260","")</f>
        <v>3071-0000-0260</v>
      </c>
      <c r="B926" s="4" t="s">
        <v>572</v>
      </c>
      <c r="C926" s="5">
        <v>41489</v>
      </c>
      <c r="D926" s="5">
        <v>41549</v>
      </c>
      <c r="E926" s="4" t="s">
        <v>7</v>
      </c>
      <c r="F926" s="4" t="s">
        <v>7</v>
      </c>
    </row>
    <row r="927" spans="1:6" x14ac:dyDescent="0.25">
      <c r="A927" s="4" t="str">
        <f>CONCATENATE("3071-0000-4278","")</f>
        <v>3071-0000-4278</v>
      </c>
      <c r="B927" s="4" t="s">
        <v>8890</v>
      </c>
      <c r="C927" s="5">
        <v>41489</v>
      </c>
      <c r="D927" s="5">
        <v>41549</v>
      </c>
      <c r="E927" s="4" t="s">
        <v>1410</v>
      </c>
      <c r="F927" s="4" t="s">
        <v>8696</v>
      </c>
    </row>
    <row r="928" spans="1:6" x14ac:dyDescent="0.25">
      <c r="A928" s="4" t="str">
        <f>CONCATENATE("3071-0000-4646","")</f>
        <v>3071-0000-4646</v>
      </c>
      <c r="B928" s="4" t="s">
        <v>8943</v>
      </c>
      <c r="C928" s="5">
        <v>41489</v>
      </c>
      <c r="D928" s="5">
        <v>41549</v>
      </c>
      <c r="E928" s="4" t="s">
        <v>1410</v>
      </c>
      <c r="F928" s="4" t="s">
        <v>8696</v>
      </c>
    </row>
    <row r="929" spans="1:6" x14ac:dyDescent="0.25">
      <c r="A929" s="4" t="str">
        <f>CONCATENATE("3071-0000-1142","")</f>
        <v>3071-0000-1142</v>
      </c>
      <c r="B929" s="4" t="s">
        <v>2085</v>
      </c>
      <c r="C929" s="5">
        <v>41489</v>
      </c>
      <c r="D929" s="5">
        <v>41549</v>
      </c>
      <c r="E929" s="4" t="s">
        <v>1857</v>
      </c>
      <c r="F929" s="4" t="s">
        <v>2052</v>
      </c>
    </row>
    <row r="930" spans="1:6" x14ac:dyDescent="0.25">
      <c r="A930" s="4" t="str">
        <f>CONCATENATE("3071-0000-2356","")</f>
        <v>3071-0000-2356</v>
      </c>
      <c r="B930" s="4" t="s">
        <v>3579</v>
      </c>
      <c r="C930" s="5">
        <v>41489</v>
      </c>
      <c r="D930" s="5">
        <v>41549</v>
      </c>
      <c r="E930" s="4" t="s">
        <v>2944</v>
      </c>
      <c r="F930" s="4" t="s">
        <v>2945</v>
      </c>
    </row>
    <row r="931" spans="1:6" x14ac:dyDescent="0.25">
      <c r="A931" s="4" t="str">
        <f>CONCATENATE("3071-0000-1062","")</f>
        <v>3071-0000-1062</v>
      </c>
      <c r="B931" s="4" t="s">
        <v>2241</v>
      </c>
      <c r="C931" s="5">
        <v>41489</v>
      </c>
      <c r="D931" s="5">
        <v>41549</v>
      </c>
      <c r="E931" s="4" t="s">
        <v>1857</v>
      </c>
      <c r="F931" s="4" t="s">
        <v>1857</v>
      </c>
    </row>
    <row r="932" spans="1:6" x14ac:dyDescent="0.25">
      <c r="A932" s="4" t="str">
        <f>CONCATENATE("3071-0000-1030","")</f>
        <v>3071-0000-1030</v>
      </c>
      <c r="B932" s="4" t="s">
        <v>2239</v>
      </c>
      <c r="C932" s="5">
        <v>41489</v>
      </c>
      <c r="D932" s="5">
        <v>41549</v>
      </c>
      <c r="E932" s="4" t="s">
        <v>1857</v>
      </c>
      <c r="F932" s="4" t="s">
        <v>1857</v>
      </c>
    </row>
    <row r="933" spans="1:6" x14ac:dyDescent="0.25">
      <c r="A933" s="4" t="str">
        <f>CONCATENATE("3071-0000-1393","")</f>
        <v>3071-0000-1393</v>
      </c>
      <c r="B933" s="4" t="s">
        <v>2574</v>
      </c>
      <c r="C933" s="5">
        <v>41489</v>
      </c>
      <c r="D933" s="5">
        <v>41549</v>
      </c>
      <c r="E933" s="4" t="s">
        <v>1381</v>
      </c>
      <c r="F933" s="4" t="s">
        <v>2303</v>
      </c>
    </row>
    <row r="934" spans="1:6" x14ac:dyDescent="0.25">
      <c r="A934" s="4" t="str">
        <f>CONCATENATE("3071-0000-0700","")</f>
        <v>3071-0000-0700</v>
      </c>
      <c r="B934" s="4" t="s">
        <v>256</v>
      </c>
      <c r="C934" s="5">
        <v>41489</v>
      </c>
      <c r="D934" s="5">
        <v>41549</v>
      </c>
      <c r="E934" s="4" t="s">
        <v>7</v>
      </c>
      <c r="F934" s="4" t="s">
        <v>7</v>
      </c>
    </row>
    <row r="935" spans="1:6" x14ac:dyDescent="0.25">
      <c r="A935" s="4" t="str">
        <f>CONCATENATE("3071-0000-0567","")</f>
        <v>3071-0000-0567</v>
      </c>
      <c r="B935" s="4" t="s">
        <v>148</v>
      </c>
      <c r="C935" s="5">
        <v>41489</v>
      </c>
      <c r="D935" s="5">
        <v>41549</v>
      </c>
      <c r="E935" s="4" t="s">
        <v>7</v>
      </c>
      <c r="F935" s="4" t="s">
        <v>7</v>
      </c>
    </row>
    <row r="936" spans="1:6" x14ac:dyDescent="0.25">
      <c r="A936" s="4" t="str">
        <f>CONCATENATE("3071-0000-8448","")</f>
        <v>3071-0000-8448</v>
      </c>
      <c r="B936" s="4" t="s">
        <v>5820</v>
      </c>
      <c r="C936" s="5">
        <v>41489</v>
      </c>
      <c r="D936" s="5">
        <v>41549</v>
      </c>
      <c r="E936" s="4" t="s">
        <v>5185</v>
      </c>
      <c r="F936" s="4" t="s">
        <v>4188</v>
      </c>
    </row>
    <row r="937" spans="1:6" x14ac:dyDescent="0.25">
      <c r="A937" s="4" t="str">
        <f>CONCATENATE("3071-0000-7468","")</f>
        <v>3071-0000-7468</v>
      </c>
      <c r="B937" s="4" t="s">
        <v>4733</v>
      </c>
      <c r="C937" s="5">
        <v>41489</v>
      </c>
      <c r="D937" s="5">
        <v>41549</v>
      </c>
      <c r="E937" s="4" t="s">
        <v>1410</v>
      </c>
      <c r="F937" s="4" t="s">
        <v>4655</v>
      </c>
    </row>
    <row r="938" spans="1:6" x14ac:dyDescent="0.25">
      <c r="A938" s="4" t="str">
        <f>CONCATENATE("3071-0000-1457","")</f>
        <v>3071-0000-1457</v>
      </c>
      <c r="B938" s="4" t="s">
        <v>2896</v>
      </c>
      <c r="C938" s="5">
        <v>41489</v>
      </c>
      <c r="D938" s="5">
        <v>41549</v>
      </c>
      <c r="E938" s="4" t="s">
        <v>1381</v>
      </c>
      <c r="F938" s="4" t="s">
        <v>2303</v>
      </c>
    </row>
    <row r="939" spans="1:6" x14ac:dyDescent="0.25">
      <c r="A939" s="4" t="str">
        <f>CONCATENATE("3071-0000-1636","")</f>
        <v>3071-0000-1636</v>
      </c>
      <c r="B939" s="4" t="s">
        <v>2703</v>
      </c>
      <c r="C939" s="5">
        <v>41489</v>
      </c>
      <c r="D939" s="5">
        <v>41549</v>
      </c>
      <c r="E939" s="4" t="s">
        <v>1381</v>
      </c>
      <c r="F939" s="4" t="s">
        <v>2303</v>
      </c>
    </row>
    <row r="940" spans="1:6" x14ac:dyDescent="0.25">
      <c r="A940" s="4" t="str">
        <f>CONCATENATE("3071-0000-2446","")</f>
        <v>3071-0000-2446</v>
      </c>
      <c r="B940" s="4" t="s">
        <v>3550</v>
      </c>
      <c r="C940" s="5">
        <v>41489</v>
      </c>
      <c r="D940" s="5">
        <v>41549</v>
      </c>
      <c r="E940" s="4" t="s">
        <v>2944</v>
      </c>
      <c r="F940" s="4" t="s">
        <v>3515</v>
      </c>
    </row>
    <row r="941" spans="1:6" x14ac:dyDescent="0.25">
      <c r="A941" s="4" t="str">
        <f>CONCATENATE("3071-0000-7175","")</f>
        <v>3071-0000-7175</v>
      </c>
      <c r="B941" s="4" t="s">
        <v>5075</v>
      </c>
      <c r="C941" s="5">
        <v>41489</v>
      </c>
      <c r="D941" s="5">
        <v>41549</v>
      </c>
      <c r="E941" s="4" t="s">
        <v>1410</v>
      </c>
      <c r="F941" s="4" t="s">
        <v>1410</v>
      </c>
    </row>
    <row r="942" spans="1:6" x14ac:dyDescent="0.25">
      <c r="A942" s="4" t="str">
        <f>CONCATENATE("3071-0000-2811","")</f>
        <v>3071-0000-2811</v>
      </c>
      <c r="B942" s="4" t="s">
        <v>1010</v>
      </c>
      <c r="C942" s="5">
        <v>41489</v>
      </c>
      <c r="D942" s="5">
        <v>41549</v>
      </c>
      <c r="E942" s="4" t="s">
        <v>7</v>
      </c>
      <c r="F942" s="4" t="s">
        <v>808</v>
      </c>
    </row>
    <row r="943" spans="1:6" x14ac:dyDescent="0.25">
      <c r="A943" s="4" t="str">
        <f>CONCATENATE("3071-0000-0207","")</f>
        <v>3071-0000-0207</v>
      </c>
      <c r="B943" s="4" t="s">
        <v>443</v>
      </c>
      <c r="C943" s="5">
        <v>41489</v>
      </c>
      <c r="D943" s="5">
        <v>41549</v>
      </c>
      <c r="E943" s="4" t="s">
        <v>7</v>
      </c>
      <c r="F943" s="4" t="s">
        <v>7</v>
      </c>
    </row>
    <row r="944" spans="1:6" x14ac:dyDescent="0.25">
      <c r="A944" s="4" t="str">
        <f>CONCATENATE("3071-0000-3853","")</f>
        <v>3071-0000-3853</v>
      </c>
      <c r="B944" s="4" t="s">
        <v>3922</v>
      </c>
      <c r="C944" s="5">
        <v>41489</v>
      </c>
      <c r="D944" s="5">
        <v>41549</v>
      </c>
      <c r="E944" s="4" t="s">
        <v>2944</v>
      </c>
      <c r="F944" s="4" t="s">
        <v>3513</v>
      </c>
    </row>
    <row r="945" spans="1:6" x14ac:dyDescent="0.25">
      <c r="A945" s="4" t="str">
        <f>CONCATENATE("3071-0000-2255","")</f>
        <v>3071-0000-2255</v>
      </c>
      <c r="B945" s="4" t="s">
        <v>3082</v>
      </c>
      <c r="C945" s="5">
        <v>41489</v>
      </c>
      <c r="D945" s="5">
        <v>41549</v>
      </c>
      <c r="E945" s="4" t="s">
        <v>2944</v>
      </c>
      <c r="F945" s="4" t="s">
        <v>2945</v>
      </c>
    </row>
    <row r="946" spans="1:6" x14ac:dyDescent="0.25">
      <c r="A946" s="4" t="str">
        <f>CONCATENATE("3071-0000-0749","")</f>
        <v>3071-0000-0749</v>
      </c>
      <c r="B946" s="4" t="s">
        <v>573</v>
      </c>
      <c r="C946" s="5">
        <v>41489</v>
      </c>
      <c r="D946" s="5">
        <v>41549</v>
      </c>
      <c r="E946" s="4" t="s">
        <v>7</v>
      </c>
      <c r="F946" s="4" t="s">
        <v>7</v>
      </c>
    </row>
    <row r="947" spans="1:6" x14ac:dyDescent="0.25">
      <c r="A947" s="4" t="str">
        <f>CONCATENATE("3071-0000-3790","")</f>
        <v>3071-0000-3790</v>
      </c>
      <c r="B947" s="4" t="s">
        <v>3912</v>
      </c>
      <c r="C947" s="5">
        <v>41489</v>
      </c>
      <c r="D947" s="5">
        <v>41549</v>
      </c>
      <c r="E947" s="4" t="s">
        <v>2944</v>
      </c>
      <c r="F947" s="4" t="s">
        <v>3513</v>
      </c>
    </row>
    <row r="948" spans="1:6" x14ac:dyDescent="0.25">
      <c r="A948" s="4" t="str">
        <f>CONCATENATE("3071-0000-3843","")</f>
        <v>3071-0000-3843</v>
      </c>
      <c r="B948" s="4" t="s">
        <v>3916</v>
      </c>
      <c r="C948" s="5">
        <v>41489</v>
      </c>
      <c r="D948" s="5">
        <v>41549</v>
      </c>
      <c r="E948" s="4" t="s">
        <v>2944</v>
      </c>
      <c r="F948" s="4" t="s">
        <v>3513</v>
      </c>
    </row>
    <row r="949" spans="1:6" x14ac:dyDescent="0.25">
      <c r="A949" s="4" t="str">
        <f>CONCATENATE("3071-0000-3901","")</f>
        <v>3071-0000-3901</v>
      </c>
      <c r="B949" s="4" t="s">
        <v>4122</v>
      </c>
      <c r="C949" s="5">
        <v>41489</v>
      </c>
      <c r="D949" s="5">
        <v>41549</v>
      </c>
      <c r="E949" s="4" t="s">
        <v>2944</v>
      </c>
      <c r="F949" s="4" t="s">
        <v>3513</v>
      </c>
    </row>
    <row r="950" spans="1:6" x14ac:dyDescent="0.25">
      <c r="A950" s="4" t="str">
        <f>CONCATENATE("3071-0000-3960","")</f>
        <v>3071-0000-3960</v>
      </c>
      <c r="B950" s="4" t="s">
        <v>4173</v>
      </c>
      <c r="C950" s="5">
        <v>41489</v>
      </c>
      <c r="D950" s="5">
        <v>41549</v>
      </c>
      <c r="E950" s="4" t="s">
        <v>2944</v>
      </c>
      <c r="F950" s="4" t="s">
        <v>3513</v>
      </c>
    </row>
    <row r="951" spans="1:6" x14ac:dyDescent="0.25">
      <c r="A951" s="4" t="str">
        <f>CONCATENATE("3071-0000-1655","")</f>
        <v>3071-0000-1655</v>
      </c>
      <c r="B951" s="4" t="s">
        <v>2440</v>
      </c>
      <c r="C951" s="5">
        <v>41489</v>
      </c>
      <c r="D951" s="5">
        <v>41549</v>
      </c>
      <c r="E951" s="4" t="s">
        <v>1381</v>
      </c>
      <c r="F951" s="4" t="s">
        <v>2215</v>
      </c>
    </row>
    <row r="952" spans="1:6" x14ac:dyDescent="0.25">
      <c r="A952" s="4" t="str">
        <f>CONCATENATE("3071-0000-3846","")</f>
        <v>3071-0000-3846</v>
      </c>
      <c r="B952" s="4" t="s">
        <v>3921</v>
      </c>
      <c r="C952" s="5">
        <v>41489</v>
      </c>
      <c r="D952" s="5">
        <v>41549</v>
      </c>
      <c r="E952" s="4" t="s">
        <v>2944</v>
      </c>
      <c r="F952" s="4" t="s">
        <v>3513</v>
      </c>
    </row>
    <row r="953" spans="1:6" x14ac:dyDescent="0.25">
      <c r="A953" s="4" t="str">
        <f>CONCATENATE("3071-0000-3997","")</f>
        <v>3071-0000-3997</v>
      </c>
      <c r="B953" s="4" t="s">
        <v>3919</v>
      </c>
      <c r="C953" s="5">
        <v>41489</v>
      </c>
      <c r="D953" s="5">
        <v>41549</v>
      </c>
      <c r="E953" s="4" t="s">
        <v>2944</v>
      </c>
      <c r="F953" s="4" t="s">
        <v>3513</v>
      </c>
    </row>
    <row r="954" spans="1:6" x14ac:dyDescent="0.25">
      <c r="A954" s="4" t="str">
        <f>CONCATENATE("3071-0000-1860","")</f>
        <v>3071-0000-1860</v>
      </c>
      <c r="B954" s="4" t="s">
        <v>2788</v>
      </c>
      <c r="C954" s="5">
        <v>41489</v>
      </c>
      <c r="D954" s="5">
        <v>41549</v>
      </c>
      <c r="E954" s="4" t="s">
        <v>1381</v>
      </c>
      <c r="F954" s="4" t="s">
        <v>2533</v>
      </c>
    </row>
    <row r="955" spans="1:6" x14ac:dyDescent="0.25">
      <c r="A955" s="4" t="str">
        <f>CONCATENATE("3071-0000-4123","")</f>
        <v>3071-0000-4123</v>
      </c>
      <c r="B955" s="4" t="s">
        <v>4257</v>
      </c>
      <c r="C955" s="5">
        <v>41489</v>
      </c>
      <c r="D955" s="5">
        <v>41549</v>
      </c>
      <c r="E955" s="4" t="s">
        <v>7</v>
      </c>
      <c r="F955" s="4" t="s">
        <v>1419</v>
      </c>
    </row>
    <row r="956" spans="1:6" x14ac:dyDescent="0.25">
      <c r="A956" s="4" t="str">
        <f>CONCATENATE("3071-0000-4074","")</f>
        <v>3071-0000-4074</v>
      </c>
      <c r="B956" s="4" t="s">
        <v>4171</v>
      </c>
      <c r="C956" s="5">
        <v>41489</v>
      </c>
      <c r="D956" s="5">
        <v>41549</v>
      </c>
      <c r="E956" s="4" t="s">
        <v>7</v>
      </c>
      <c r="F956" s="4" t="s">
        <v>1419</v>
      </c>
    </row>
    <row r="957" spans="1:6" x14ac:dyDescent="0.25">
      <c r="A957" s="4" t="str">
        <f>CONCATENATE("3071-0000-3118","")</f>
        <v>3071-0000-3118</v>
      </c>
      <c r="B957" s="4" t="s">
        <v>1123</v>
      </c>
      <c r="C957" s="5">
        <v>41489</v>
      </c>
      <c r="D957" s="5">
        <v>41549</v>
      </c>
      <c r="E957" s="4" t="s">
        <v>7</v>
      </c>
      <c r="F957" s="4" t="s">
        <v>808</v>
      </c>
    </row>
    <row r="958" spans="1:6" x14ac:dyDescent="0.25">
      <c r="A958" s="4" t="str">
        <f>CONCATENATE("3071-0000-7490","")</f>
        <v>3071-0000-7490</v>
      </c>
      <c r="B958" s="4" t="s">
        <v>4509</v>
      </c>
      <c r="C958" s="5">
        <v>41489</v>
      </c>
      <c r="D958" s="5">
        <v>41549</v>
      </c>
      <c r="E958" s="4" t="s">
        <v>1410</v>
      </c>
      <c r="F958" s="4" t="s">
        <v>1410</v>
      </c>
    </row>
    <row r="959" spans="1:6" x14ac:dyDescent="0.25">
      <c r="A959" s="4" t="str">
        <f>CONCATENATE("3071-0000-0607","")</f>
        <v>3071-0000-0607</v>
      </c>
      <c r="B959" s="4" t="s">
        <v>246</v>
      </c>
      <c r="C959" s="5">
        <v>41489</v>
      </c>
      <c r="D959" s="5">
        <v>41549</v>
      </c>
      <c r="E959" s="4" t="s">
        <v>7</v>
      </c>
      <c r="F959" s="4" t="s">
        <v>7</v>
      </c>
    </row>
    <row r="960" spans="1:6" x14ac:dyDescent="0.25">
      <c r="A960" s="4" t="str">
        <f>CONCATENATE("3071-0000-8762","")</f>
        <v>3071-0000-8762</v>
      </c>
      <c r="B960" s="4" t="s">
        <v>6435</v>
      </c>
      <c r="C960" s="5">
        <v>41489</v>
      </c>
      <c r="D960" s="5">
        <v>41549</v>
      </c>
      <c r="E960" s="4" t="s">
        <v>5185</v>
      </c>
      <c r="F960" s="4" t="s">
        <v>5292</v>
      </c>
    </row>
    <row r="961" spans="1:6" x14ac:dyDescent="0.25">
      <c r="A961" s="4" t="str">
        <f>CONCATENATE("3071-0000-8242","")</f>
        <v>3071-0000-8242</v>
      </c>
      <c r="B961" s="4" t="s">
        <v>5734</v>
      </c>
      <c r="C961" s="5">
        <v>41489</v>
      </c>
      <c r="D961" s="5">
        <v>41549</v>
      </c>
      <c r="E961" s="4" t="s">
        <v>5185</v>
      </c>
      <c r="F961" s="4" t="s">
        <v>5185</v>
      </c>
    </row>
    <row r="962" spans="1:6" x14ac:dyDescent="0.25">
      <c r="A962" s="4" t="str">
        <f>CONCATENATE("3071-0000-7510","")</f>
        <v>3071-0000-7510</v>
      </c>
      <c r="B962" s="4" t="s">
        <v>5133</v>
      </c>
      <c r="C962" s="5">
        <v>41489</v>
      </c>
      <c r="D962" s="5">
        <v>41549</v>
      </c>
      <c r="E962" s="4" t="s">
        <v>1410</v>
      </c>
      <c r="F962" s="4" t="s">
        <v>4616</v>
      </c>
    </row>
    <row r="963" spans="1:6" x14ac:dyDescent="0.25">
      <c r="A963" s="4" t="str">
        <f>CONCATENATE("3071-0000-5472","")</f>
        <v>3071-0000-5472</v>
      </c>
      <c r="B963" s="4" t="s">
        <v>6866</v>
      </c>
      <c r="C963" s="5">
        <v>41489</v>
      </c>
      <c r="D963" s="5">
        <v>41549</v>
      </c>
      <c r="E963" s="4" t="s">
        <v>5185</v>
      </c>
      <c r="F963" s="4" t="s">
        <v>6837</v>
      </c>
    </row>
    <row r="964" spans="1:6" x14ac:dyDescent="0.25">
      <c r="A964" s="4" t="str">
        <f>CONCATENATE("3071-0000-7441","")</f>
        <v>3071-0000-7441</v>
      </c>
      <c r="B964" s="4" t="s">
        <v>4323</v>
      </c>
      <c r="C964" s="5">
        <v>41489</v>
      </c>
      <c r="D964" s="5">
        <v>41549</v>
      </c>
      <c r="E964" s="4" t="s">
        <v>1410</v>
      </c>
      <c r="F964" s="4" t="s">
        <v>1410</v>
      </c>
    </row>
    <row r="965" spans="1:6" x14ac:dyDescent="0.25">
      <c r="A965" s="4" t="str">
        <f>CONCATENATE("3071-0000-5598","")</f>
        <v>3071-0000-5598</v>
      </c>
      <c r="B965" s="4" t="s">
        <v>7133</v>
      </c>
      <c r="C965" s="5">
        <v>41489</v>
      </c>
      <c r="D965" s="5">
        <v>41549</v>
      </c>
      <c r="E965" s="4" t="s">
        <v>5185</v>
      </c>
      <c r="F965" s="4" t="s">
        <v>5185</v>
      </c>
    </row>
    <row r="966" spans="1:6" x14ac:dyDescent="0.25">
      <c r="A966" s="4" t="str">
        <f>CONCATENATE("3071-0000-8129","")</f>
        <v>3071-0000-8129</v>
      </c>
      <c r="B966" s="4" t="s">
        <v>6007</v>
      </c>
      <c r="C966" s="5">
        <v>41489</v>
      </c>
      <c r="D966" s="5">
        <v>41549</v>
      </c>
      <c r="E966" s="4" t="s">
        <v>5185</v>
      </c>
      <c r="F966" s="4" t="s">
        <v>5945</v>
      </c>
    </row>
    <row r="967" spans="1:6" x14ac:dyDescent="0.25">
      <c r="A967" s="4" t="str">
        <f>CONCATENATE("3071-0000-5623","")</f>
        <v>3071-0000-5623</v>
      </c>
      <c r="B967" s="4" t="s">
        <v>7202</v>
      </c>
      <c r="C967" s="5">
        <v>41489</v>
      </c>
      <c r="D967" s="5">
        <v>41549</v>
      </c>
      <c r="E967" s="4" t="s">
        <v>5185</v>
      </c>
      <c r="F967" s="4" t="s">
        <v>5185</v>
      </c>
    </row>
    <row r="968" spans="1:6" x14ac:dyDescent="0.25">
      <c r="A968" s="4" t="str">
        <f>CONCATENATE("3071-0000-5987","")</f>
        <v>3071-0000-5987</v>
      </c>
      <c r="B968" s="4" t="s">
        <v>7244</v>
      </c>
      <c r="C968" s="5">
        <v>41489</v>
      </c>
      <c r="D968" s="5">
        <v>41549</v>
      </c>
      <c r="E968" s="4" t="s">
        <v>5185</v>
      </c>
      <c r="F968" s="4" t="s">
        <v>5185</v>
      </c>
    </row>
    <row r="969" spans="1:6" x14ac:dyDescent="0.25">
      <c r="A969" s="4" t="str">
        <f>CONCATENATE("3071-0000-5957","")</f>
        <v>3071-0000-5957</v>
      </c>
      <c r="B969" s="4" t="s">
        <v>7216</v>
      </c>
      <c r="C969" s="5">
        <v>41489</v>
      </c>
      <c r="D969" s="5">
        <v>41549</v>
      </c>
      <c r="E969" s="4" t="s">
        <v>5185</v>
      </c>
      <c r="F969" s="4" t="s">
        <v>5185</v>
      </c>
    </row>
    <row r="970" spans="1:6" x14ac:dyDescent="0.25">
      <c r="A970" s="4" t="str">
        <f>CONCATENATE("3071-0000-6056","")</f>
        <v>3071-0000-6056</v>
      </c>
      <c r="B970" s="4" t="s">
        <v>7219</v>
      </c>
      <c r="C970" s="5">
        <v>41489</v>
      </c>
      <c r="D970" s="5">
        <v>41549</v>
      </c>
      <c r="E970" s="4" t="s">
        <v>7069</v>
      </c>
      <c r="F970" s="4" t="s">
        <v>7183</v>
      </c>
    </row>
    <row r="971" spans="1:6" x14ac:dyDescent="0.25">
      <c r="A971" s="4" t="str">
        <f>CONCATENATE("3071-0000-8466","")</f>
        <v>3071-0000-8466</v>
      </c>
      <c r="B971" s="4" t="s">
        <v>6050</v>
      </c>
      <c r="C971" s="5">
        <v>41489</v>
      </c>
      <c r="D971" s="5">
        <v>41549</v>
      </c>
      <c r="E971" s="4" t="s">
        <v>5185</v>
      </c>
      <c r="F971" s="4" t="s">
        <v>5945</v>
      </c>
    </row>
    <row r="972" spans="1:6" x14ac:dyDescent="0.25">
      <c r="A972" s="4" t="str">
        <f>CONCATENATE("3071-0000-8467","")</f>
        <v>3071-0000-8467</v>
      </c>
      <c r="B972" s="4" t="s">
        <v>6051</v>
      </c>
      <c r="C972" s="5">
        <v>41489</v>
      </c>
      <c r="D972" s="5">
        <v>41549</v>
      </c>
      <c r="E972" s="4" t="s">
        <v>5185</v>
      </c>
      <c r="F972" s="4" t="s">
        <v>5945</v>
      </c>
    </row>
    <row r="973" spans="1:6" x14ac:dyDescent="0.25">
      <c r="A973" s="4" t="str">
        <f>CONCATENATE("3071-0000-8575","")</f>
        <v>3071-0000-8575</v>
      </c>
      <c r="B973" s="4" t="s">
        <v>6072</v>
      </c>
      <c r="C973" s="5">
        <v>41489</v>
      </c>
      <c r="D973" s="5">
        <v>41549</v>
      </c>
      <c r="E973" s="4" t="s">
        <v>5185</v>
      </c>
      <c r="F973" s="4" t="s">
        <v>5945</v>
      </c>
    </row>
    <row r="974" spans="1:6" x14ac:dyDescent="0.25">
      <c r="A974" s="4" t="str">
        <f>CONCATENATE("3071-0000-1902","")</f>
        <v>3071-0000-1902</v>
      </c>
      <c r="B974" s="4" t="s">
        <v>2992</v>
      </c>
      <c r="C974" s="5">
        <v>41489</v>
      </c>
      <c r="D974" s="5">
        <v>41549</v>
      </c>
      <c r="E974" s="4" t="s">
        <v>2944</v>
      </c>
      <c r="F974" s="4" t="s">
        <v>2945</v>
      </c>
    </row>
    <row r="975" spans="1:6" x14ac:dyDescent="0.25">
      <c r="A975" s="4" t="str">
        <f>CONCATENATE("3071-0000-0421","")</f>
        <v>3071-0000-0421</v>
      </c>
      <c r="B975" s="4" t="s">
        <v>643</v>
      </c>
      <c r="C975" s="5">
        <v>41489</v>
      </c>
      <c r="D975" s="5">
        <v>41549</v>
      </c>
      <c r="E975" s="4" t="s">
        <v>7</v>
      </c>
      <c r="F975" s="4" t="s">
        <v>7</v>
      </c>
    </row>
    <row r="976" spans="1:6" x14ac:dyDescent="0.25">
      <c r="A976" s="4" t="str">
        <f>CONCATENATE("3071-0000-0114","")</f>
        <v>3071-0000-0114</v>
      </c>
      <c r="B976" s="4" t="s">
        <v>232</v>
      </c>
      <c r="C976" s="5">
        <v>41489</v>
      </c>
      <c r="D976" s="5">
        <v>41549</v>
      </c>
      <c r="E976" s="4" t="s">
        <v>7</v>
      </c>
      <c r="F976" s="4" t="s">
        <v>7</v>
      </c>
    </row>
    <row r="977" spans="1:6" x14ac:dyDescent="0.25">
      <c r="A977" s="4" t="str">
        <f>CONCATENATE("3071-0000-8698","")</f>
        <v>3071-0000-8698</v>
      </c>
      <c r="B977" s="4" t="s">
        <v>6457</v>
      </c>
      <c r="C977" s="5">
        <v>41489</v>
      </c>
      <c r="D977" s="5">
        <v>41549</v>
      </c>
      <c r="E977" s="4" t="s">
        <v>5185</v>
      </c>
      <c r="F977" s="4" t="s">
        <v>5292</v>
      </c>
    </row>
    <row r="978" spans="1:6" x14ac:dyDescent="0.25">
      <c r="A978" s="4" t="str">
        <f>CONCATENATE("3071-0000-8836","")</f>
        <v>3071-0000-8836</v>
      </c>
      <c r="B978" s="4" t="s">
        <v>6349</v>
      </c>
      <c r="C978" s="5">
        <v>41489</v>
      </c>
      <c r="D978" s="5">
        <v>41549</v>
      </c>
      <c r="E978" s="4" t="s">
        <v>5185</v>
      </c>
      <c r="F978" s="4" t="s">
        <v>5292</v>
      </c>
    </row>
    <row r="979" spans="1:6" x14ac:dyDescent="0.25">
      <c r="A979" s="4" t="str">
        <f>CONCATENATE("3071-0000-3791","")</f>
        <v>3071-0000-3791</v>
      </c>
      <c r="B979" s="4" t="s">
        <v>3859</v>
      </c>
      <c r="C979" s="5">
        <v>41489</v>
      </c>
      <c r="D979" s="5">
        <v>41549</v>
      </c>
      <c r="E979" s="4" t="s">
        <v>7</v>
      </c>
      <c r="F979" s="4" t="s">
        <v>3818</v>
      </c>
    </row>
    <row r="980" spans="1:6" x14ac:dyDescent="0.25">
      <c r="A980" s="4" t="str">
        <f>CONCATENATE("3071-0000-2822","")</f>
        <v>3071-0000-2822</v>
      </c>
      <c r="B980" s="4" t="s">
        <v>1069</v>
      </c>
      <c r="C980" s="5">
        <v>41489</v>
      </c>
      <c r="D980" s="5">
        <v>41549</v>
      </c>
      <c r="E980" s="4" t="s">
        <v>7</v>
      </c>
      <c r="F980" s="4" t="s">
        <v>808</v>
      </c>
    </row>
    <row r="981" spans="1:6" x14ac:dyDescent="0.25">
      <c r="A981" s="4" t="str">
        <f>CONCATENATE("3071-0000-3235","")</f>
        <v>3071-0000-3235</v>
      </c>
      <c r="B981" s="4" t="s">
        <v>938</v>
      </c>
      <c r="C981" s="5">
        <v>41489</v>
      </c>
      <c r="D981" s="5">
        <v>41549</v>
      </c>
      <c r="E981" s="4" t="s">
        <v>7</v>
      </c>
      <c r="F981" s="4" t="s">
        <v>808</v>
      </c>
    </row>
    <row r="982" spans="1:6" x14ac:dyDescent="0.25">
      <c r="A982" s="4" t="str">
        <f>CONCATENATE("3071-0000-3094","")</f>
        <v>3071-0000-3094</v>
      </c>
      <c r="B982" s="4" t="s">
        <v>999</v>
      </c>
      <c r="C982" s="5">
        <v>41489</v>
      </c>
      <c r="D982" s="5">
        <v>41549</v>
      </c>
      <c r="E982" s="4" t="s">
        <v>7</v>
      </c>
      <c r="F982" s="4" t="s">
        <v>808</v>
      </c>
    </row>
    <row r="983" spans="1:6" x14ac:dyDescent="0.25">
      <c r="A983" s="4" t="str">
        <f>CONCATENATE("3071-0000-2801","")</f>
        <v>3071-0000-2801</v>
      </c>
      <c r="B983" s="4" t="s">
        <v>1003</v>
      </c>
      <c r="C983" s="5">
        <v>41489</v>
      </c>
      <c r="D983" s="5">
        <v>41549</v>
      </c>
      <c r="E983" s="4" t="s">
        <v>7</v>
      </c>
      <c r="F983" s="4" t="s">
        <v>808</v>
      </c>
    </row>
    <row r="984" spans="1:6" x14ac:dyDescent="0.25">
      <c r="A984" s="4" t="str">
        <f>CONCATENATE("3071-0000-0002","")</f>
        <v>3071-0000-0002</v>
      </c>
      <c r="B984" s="4" t="s">
        <v>6</v>
      </c>
      <c r="C984" s="5">
        <v>41489</v>
      </c>
      <c r="D984" s="5">
        <v>41549</v>
      </c>
      <c r="E984" s="4" t="s">
        <v>7</v>
      </c>
      <c r="F984" s="4" t="s">
        <v>7</v>
      </c>
    </row>
    <row r="985" spans="1:6" x14ac:dyDescent="0.25">
      <c r="A985" s="4" t="str">
        <f>CONCATENATE("3071-0000-2966","")</f>
        <v>3071-0000-2966</v>
      </c>
      <c r="B985" s="4" t="s">
        <v>959</v>
      </c>
      <c r="C985" s="5">
        <v>41489</v>
      </c>
      <c r="D985" s="5">
        <v>41549</v>
      </c>
      <c r="E985" s="4" t="s">
        <v>7</v>
      </c>
      <c r="F985" s="4" t="s">
        <v>808</v>
      </c>
    </row>
    <row r="986" spans="1:6" x14ac:dyDescent="0.25">
      <c r="A986" s="4" t="str">
        <f>CONCATENATE("3071-0000-0712","")</f>
        <v>3071-0000-0712</v>
      </c>
      <c r="B986" s="4" t="s">
        <v>285</v>
      </c>
      <c r="C986" s="5">
        <v>41489</v>
      </c>
      <c r="D986" s="5">
        <v>41549</v>
      </c>
      <c r="E986" s="4" t="s">
        <v>7</v>
      </c>
      <c r="F986" s="4" t="s">
        <v>273</v>
      </c>
    </row>
    <row r="987" spans="1:6" x14ac:dyDescent="0.25">
      <c r="A987" s="4" t="str">
        <f>CONCATENATE("3071-0000-3050","")</f>
        <v>3071-0000-3050</v>
      </c>
      <c r="B987" s="4" t="s">
        <v>1175</v>
      </c>
      <c r="C987" s="5">
        <v>41489</v>
      </c>
      <c r="D987" s="5">
        <v>41549</v>
      </c>
      <c r="E987" s="4" t="s">
        <v>7</v>
      </c>
      <c r="F987" s="4" t="s">
        <v>808</v>
      </c>
    </row>
    <row r="988" spans="1:6" x14ac:dyDescent="0.25">
      <c r="A988" s="4" t="str">
        <f>CONCATENATE("3071-0000-3145","")</f>
        <v>3071-0000-3145</v>
      </c>
      <c r="B988" s="4" t="s">
        <v>1258</v>
      </c>
      <c r="C988" s="5">
        <v>41489</v>
      </c>
      <c r="D988" s="5">
        <v>41549</v>
      </c>
      <c r="E988" s="4" t="s">
        <v>7</v>
      </c>
      <c r="F988" s="4" t="s">
        <v>808</v>
      </c>
    </row>
    <row r="989" spans="1:6" x14ac:dyDescent="0.25">
      <c r="A989" s="4" t="str">
        <f>CONCATENATE("3071-0000-2831","")</f>
        <v>3071-0000-2831</v>
      </c>
      <c r="B989" s="4" t="s">
        <v>1092</v>
      </c>
      <c r="C989" s="5">
        <v>41489</v>
      </c>
      <c r="D989" s="5">
        <v>41549</v>
      </c>
      <c r="E989" s="4" t="s">
        <v>7</v>
      </c>
      <c r="F989" s="4" t="s">
        <v>808</v>
      </c>
    </row>
    <row r="990" spans="1:6" x14ac:dyDescent="0.25">
      <c r="A990" s="4" t="str">
        <f>CONCATENATE("3071-0000-5424","")</f>
        <v>3071-0000-5424</v>
      </c>
      <c r="B990" s="4" t="s">
        <v>6915</v>
      </c>
      <c r="C990" s="5">
        <v>41489</v>
      </c>
      <c r="D990" s="5">
        <v>41549</v>
      </c>
      <c r="E990" s="4" t="s">
        <v>5185</v>
      </c>
      <c r="F990" s="4" t="s">
        <v>5185</v>
      </c>
    </row>
    <row r="991" spans="1:6" x14ac:dyDescent="0.25">
      <c r="A991" s="4" t="str">
        <f>CONCATENATE("3071-0000-5416","")</f>
        <v>3071-0000-5416</v>
      </c>
      <c r="B991" s="4" t="s">
        <v>6907</v>
      </c>
      <c r="C991" s="5">
        <v>41489</v>
      </c>
      <c r="D991" s="5">
        <v>41549</v>
      </c>
      <c r="E991" s="4" t="s">
        <v>5185</v>
      </c>
      <c r="F991" s="4" t="s">
        <v>5185</v>
      </c>
    </row>
    <row r="992" spans="1:6" x14ac:dyDescent="0.25">
      <c r="A992" s="4" t="str">
        <f>CONCATENATE("3071-0000-5714","")</f>
        <v>3071-0000-5714</v>
      </c>
      <c r="B992" s="4" t="s">
        <v>6960</v>
      </c>
      <c r="C992" s="5">
        <v>41489</v>
      </c>
      <c r="D992" s="5">
        <v>41549</v>
      </c>
      <c r="E992" s="4" t="s">
        <v>5185</v>
      </c>
      <c r="F992" s="4" t="s">
        <v>5185</v>
      </c>
    </row>
    <row r="993" spans="1:6" x14ac:dyDescent="0.25">
      <c r="A993" s="4" t="str">
        <f>CONCATENATE("3071-0000-6165","")</f>
        <v>3071-0000-6165</v>
      </c>
      <c r="B993" s="4" t="s">
        <v>7694</v>
      </c>
      <c r="C993" s="5">
        <v>41489</v>
      </c>
      <c r="D993" s="5">
        <v>41549</v>
      </c>
      <c r="E993" s="4" t="s">
        <v>1410</v>
      </c>
      <c r="F993" s="4" t="s">
        <v>1410</v>
      </c>
    </row>
    <row r="994" spans="1:6" x14ac:dyDescent="0.25">
      <c r="A994" s="4" t="str">
        <f>CONCATENATE("3071-0000-6168","")</f>
        <v>3071-0000-6168</v>
      </c>
      <c r="B994" s="4" t="s">
        <v>7684</v>
      </c>
      <c r="C994" s="5">
        <v>41489</v>
      </c>
      <c r="D994" s="5">
        <v>41549</v>
      </c>
      <c r="E994" s="4" t="s">
        <v>1410</v>
      </c>
      <c r="F994" s="4" t="s">
        <v>1410</v>
      </c>
    </row>
    <row r="995" spans="1:6" x14ac:dyDescent="0.25">
      <c r="A995" s="4" t="str">
        <f>CONCATENATE("3071-0000-6006","")</f>
        <v>3071-0000-6006</v>
      </c>
      <c r="B995" s="4" t="s">
        <v>7578</v>
      </c>
      <c r="C995" s="5">
        <v>41489</v>
      </c>
      <c r="D995" s="5">
        <v>41549</v>
      </c>
      <c r="E995" s="4" t="s">
        <v>5185</v>
      </c>
      <c r="F995" s="4" t="s">
        <v>5185</v>
      </c>
    </row>
    <row r="996" spans="1:6" x14ac:dyDescent="0.25">
      <c r="A996" s="4" t="str">
        <f>CONCATENATE("3071-0000-5902","")</f>
        <v>3071-0000-5902</v>
      </c>
      <c r="B996" s="4" t="s">
        <v>7594</v>
      </c>
      <c r="C996" s="5">
        <v>41489</v>
      </c>
      <c r="D996" s="5">
        <v>41549</v>
      </c>
      <c r="E996" s="4" t="s">
        <v>5185</v>
      </c>
      <c r="F996" s="4" t="s">
        <v>5185</v>
      </c>
    </row>
    <row r="997" spans="1:6" x14ac:dyDescent="0.25">
      <c r="A997" s="4" t="str">
        <f>CONCATENATE("3071-0000-2152","")</f>
        <v>3071-0000-2152</v>
      </c>
      <c r="B997" s="4" t="s">
        <v>3168</v>
      </c>
      <c r="C997" s="5">
        <v>41489</v>
      </c>
      <c r="D997" s="5">
        <v>41549</v>
      </c>
      <c r="E997" s="4" t="s">
        <v>2944</v>
      </c>
      <c r="F997" s="4" t="s">
        <v>2945</v>
      </c>
    </row>
    <row r="998" spans="1:6" x14ac:dyDescent="0.25">
      <c r="A998" s="4" t="str">
        <f>CONCATENATE("3071-0000-4764","")</f>
        <v>3071-0000-4764</v>
      </c>
      <c r="B998" s="4" t="s">
        <v>9046</v>
      </c>
      <c r="C998" s="5">
        <v>41489</v>
      </c>
      <c r="D998" s="5">
        <v>41549</v>
      </c>
      <c r="E998" s="4" t="s">
        <v>1410</v>
      </c>
      <c r="F998" s="4" t="s">
        <v>8696</v>
      </c>
    </row>
    <row r="999" spans="1:6" x14ac:dyDescent="0.25">
      <c r="A999" s="4" t="str">
        <f>CONCATENATE("3071-0000-4763","")</f>
        <v>3071-0000-4763</v>
      </c>
      <c r="B999" s="4" t="s">
        <v>9023</v>
      </c>
      <c r="C999" s="5">
        <v>41489</v>
      </c>
      <c r="D999" s="5">
        <v>41549</v>
      </c>
      <c r="E999" s="4" t="s">
        <v>1410</v>
      </c>
      <c r="F999" s="4" t="s">
        <v>8696</v>
      </c>
    </row>
    <row r="1000" spans="1:6" x14ac:dyDescent="0.25">
      <c r="A1000" s="4" t="str">
        <f>CONCATENATE("3071-0000-4785","")</f>
        <v>3071-0000-4785</v>
      </c>
      <c r="B1000" s="4" t="s">
        <v>9028</v>
      </c>
      <c r="C1000" s="5">
        <v>41489</v>
      </c>
      <c r="D1000" s="5">
        <v>41549</v>
      </c>
      <c r="E1000" s="4" t="s">
        <v>1410</v>
      </c>
      <c r="F1000" s="4" t="s">
        <v>8696</v>
      </c>
    </row>
    <row r="1001" spans="1:6" x14ac:dyDescent="0.25">
      <c r="A1001" s="4" t="str">
        <f>CONCATENATE("3071-0000-4330","")</f>
        <v>3071-0000-4330</v>
      </c>
      <c r="B1001" s="4" t="s">
        <v>8709</v>
      </c>
      <c r="C1001" s="5">
        <v>41489</v>
      </c>
      <c r="D1001" s="5">
        <v>41549</v>
      </c>
      <c r="E1001" s="4" t="s">
        <v>1410</v>
      </c>
      <c r="F1001" s="4" t="s">
        <v>8696</v>
      </c>
    </row>
    <row r="1002" spans="1:6" x14ac:dyDescent="0.25">
      <c r="A1002" s="4" t="str">
        <f>CONCATENATE("3071-0000-4765","")</f>
        <v>3071-0000-4765</v>
      </c>
      <c r="B1002" s="4" t="s">
        <v>9040</v>
      </c>
      <c r="C1002" s="5">
        <v>41489</v>
      </c>
      <c r="D1002" s="5">
        <v>41549</v>
      </c>
      <c r="E1002" s="4" t="s">
        <v>1410</v>
      </c>
      <c r="F1002" s="4" t="s">
        <v>8696</v>
      </c>
    </row>
    <row r="1003" spans="1:6" x14ac:dyDescent="0.25">
      <c r="A1003" s="4" t="str">
        <f>CONCATENATE("3071-0000-0557","")</f>
        <v>3071-0000-0557</v>
      </c>
      <c r="B1003" s="4" t="s">
        <v>633</v>
      </c>
      <c r="C1003" s="5">
        <v>41489</v>
      </c>
      <c r="D1003" s="5">
        <v>41549</v>
      </c>
      <c r="E1003" s="4" t="s">
        <v>7</v>
      </c>
      <c r="F1003" s="4" t="s">
        <v>7</v>
      </c>
    </row>
    <row r="1004" spans="1:6" x14ac:dyDescent="0.25">
      <c r="A1004" s="4" t="str">
        <f>CONCATENATE("3071-0000-5336","")</f>
        <v>3071-0000-5336</v>
      </c>
      <c r="B1004" s="4" t="s">
        <v>6819</v>
      </c>
      <c r="C1004" s="5">
        <v>41489</v>
      </c>
      <c r="D1004" s="5">
        <v>41549</v>
      </c>
      <c r="E1004" s="4" t="s">
        <v>5185</v>
      </c>
      <c r="F1004" s="4" t="s">
        <v>5185</v>
      </c>
    </row>
    <row r="1005" spans="1:6" x14ac:dyDescent="0.25">
      <c r="A1005" s="4" t="str">
        <f>CONCATENATE("3071-0000-8182","")</f>
        <v>3071-0000-8182</v>
      </c>
      <c r="B1005" s="4" t="s">
        <v>5989</v>
      </c>
      <c r="C1005" s="5">
        <v>41489</v>
      </c>
      <c r="D1005" s="5">
        <v>41549</v>
      </c>
      <c r="E1005" s="4" t="s">
        <v>5185</v>
      </c>
      <c r="F1005" s="4" t="s">
        <v>5185</v>
      </c>
    </row>
    <row r="1006" spans="1:6" x14ac:dyDescent="0.25">
      <c r="A1006" s="4" t="str">
        <f>CONCATENATE("3071-0000-1536","")</f>
        <v>3071-0000-1536</v>
      </c>
      <c r="B1006" s="4" t="s">
        <v>2747</v>
      </c>
      <c r="C1006" s="5">
        <v>41489</v>
      </c>
      <c r="D1006" s="5">
        <v>41549</v>
      </c>
      <c r="E1006" s="4" t="s">
        <v>1381</v>
      </c>
      <c r="F1006" s="4" t="s">
        <v>2303</v>
      </c>
    </row>
    <row r="1007" spans="1:6" x14ac:dyDescent="0.25">
      <c r="A1007" s="4" t="str">
        <f>CONCATENATE("3071-0000-2591","")</f>
        <v>3071-0000-2591</v>
      </c>
      <c r="B1007" s="4" t="s">
        <v>3237</v>
      </c>
      <c r="C1007" s="5">
        <v>41489</v>
      </c>
      <c r="D1007" s="5">
        <v>41549</v>
      </c>
      <c r="E1007" s="4" t="s">
        <v>2944</v>
      </c>
      <c r="F1007" s="4" t="s">
        <v>3164</v>
      </c>
    </row>
    <row r="1008" spans="1:6" x14ac:dyDescent="0.25">
      <c r="A1008" s="4" t="str">
        <f>CONCATENATE("3071-0000-1544","")</f>
        <v>3071-0000-1544</v>
      </c>
      <c r="B1008" s="4" t="s">
        <v>2873</v>
      </c>
      <c r="C1008" s="5">
        <v>41489</v>
      </c>
      <c r="D1008" s="5">
        <v>41549</v>
      </c>
      <c r="E1008" s="4" t="s">
        <v>1381</v>
      </c>
      <c r="F1008" s="4" t="s">
        <v>2303</v>
      </c>
    </row>
    <row r="1009" spans="1:6" x14ac:dyDescent="0.25">
      <c r="A1009" s="4" t="str">
        <f>CONCATENATE("3071-0000-2081","")</f>
        <v>3071-0000-2081</v>
      </c>
      <c r="B1009" s="4" t="s">
        <v>3465</v>
      </c>
      <c r="C1009" s="5">
        <v>41489</v>
      </c>
      <c r="D1009" s="5">
        <v>41549</v>
      </c>
      <c r="E1009" s="4" t="s">
        <v>2944</v>
      </c>
      <c r="F1009" s="4" t="s">
        <v>2945</v>
      </c>
    </row>
    <row r="1010" spans="1:6" x14ac:dyDescent="0.25">
      <c r="A1010" s="4" t="str">
        <f>CONCATENATE("3071-0000-1169","")</f>
        <v>3071-0000-1169</v>
      </c>
      <c r="B1010" s="4" t="s">
        <v>2061</v>
      </c>
      <c r="C1010" s="5">
        <v>41489</v>
      </c>
      <c r="D1010" s="5">
        <v>41549</v>
      </c>
      <c r="E1010" s="4" t="s">
        <v>1857</v>
      </c>
      <c r="F1010" s="4" t="s">
        <v>2056</v>
      </c>
    </row>
    <row r="1011" spans="1:6" x14ac:dyDescent="0.25">
      <c r="A1011" s="4" t="str">
        <f>CONCATENATE("3071-0000-4416","")</f>
        <v>3071-0000-4416</v>
      </c>
      <c r="B1011" s="4" t="s">
        <v>9279</v>
      </c>
      <c r="C1011" s="5">
        <v>41489</v>
      </c>
      <c r="D1011" s="5">
        <v>41549</v>
      </c>
      <c r="E1011" s="4" t="s">
        <v>1410</v>
      </c>
      <c r="F1011" s="4" t="s">
        <v>8696</v>
      </c>
    </row>
    <row r="1012" spans="1:6" x14ac:dyDescent="0.25">
      <c r="A1012" s="4" t="str">
        <f>CONCATENATE("3071-0000-2757","")</f>
        <v>3071-0000-2757</v>
      </c>
      <c r="B1012" s="4" t="s">
        <v>849</v>
      </c>
      <c r="C1012" s="5">
        <v>41489</v>
      </c>
      <c r="D1012" s="5">
        <v>41549</v>
      </c>
      <c r="E1012" s="4" t="s">
        <v>7</v>
      </c>
      <c r="F1012" s="4" t="s">
        <v>808</v>
      </c>
    </row>
    <row r="1013" spans="1:6" x14ac:dyDescent="0.25">
      <c r="A1013" s="4" t="str">
        <f>CONCATENATE("3071-0000-2365","")</f>
        <v>3071-0000-2365</v>
      </c>
      <c r="B1013" s="4" t="s">
        <v>3192</v>
      </c>
      <c r="C1013" s="5">
        <v>41489</v>
      </c>
      <c r="D1013" s="5">
        <v>41549</v>
      </c>
      <c r="E1013" s="4" t="s">
        <v>2944</v>
      </c>
      <c r="F1013" s="4" t="s">
        <v>2945</v>
      </c>
    </row>
    <row r="1014" spans="1:6" x14ac:dyDescent="0.25">
      <c r="A1014" s="4" t="str">
        <f>CONCATENATE("3071-0000-2758","")</f>
        <v>3071-0000-2758</v>
      </c>
      <c r="B1014" s="4" t="s">
        <v>846</v>
      </c>
      <c r="C1014" s="5">
        <v>41489</v>
      </c>
      <c r="D1014" s="5">
        <v>41549</v>
      </c>
      <c r="E1014" s="4" t="s">
        <v>7</v>
      </c>
      <c r="F1014" s="4" t="s">
        <v>808</v>
      </c>
    </row>
    <row r="1015" spans="1:6" x14ac:dyDescent="0.25">
      <c r="A1015" s="4" t="str">
        <f>CONCATENATE("3071-0000-2151","")</f>
        <v>3071-0000-2151</v>
      </c>
      <c r="B1015" s="4" t="s">
        <v>3165</v>
      </c>
      <c r="C1015" s="5">
        <v>41489</v>
      </c>
      <c r="D1015" s="5">
        <v>41549</v>
      </c>
      <c r="E1015" s="4" t="s">
        <v>2944</v>
      </c>
      <c r="F1015" s="4" t="s">
        <v>2945</v>
      </c>
    </row>
    <row r="1016" spans="1:6" x14ac:dyDescent="0.25">
      <c r="A1016" s="4" t="str">
        <f>CONCATENATE("3071-0000-2314","")</f>
        <v>3071-0000-2314</v>
      </c>
      <c r="B1016" s="4" t="s">
        <v>3171</v>
      </c>
      <c r="C1016" s="5">
        <v>41489</v>
      </c>
      <c r="D1016" s="5">
        <v>41549</v>
      </c>
      <c r="E1016" s="4" t="s">
        <v>2944</v>
      </c>
      <c r="F1016" s="4" t="s">
        <v>2945</v>
      </c>
    </row>
    <row r="1017" spans="1:6" x14ac:dyDescent="0.25">
      <c r="A1017" s="4" t="str">
        <f>CONCATENATE("3071-0000-4173","")</f>
        <v>3071-0000-4173</v>
      </c>
      <c r="B1017" s="4" t="s">
        <v>4042</v>
      </c>
      <c r="C1017" s="5">
        <v>41489</v>
      </c>
      <c r="D1017" s="5">
        <v>41549</v>
      </c>
      <c r="E1017" s="4" t="s">
        <v>1381</v>
      </c>
      <c r="F1017" s="4" t="s">
        <v>3994</v>
      </c>
    </row>
    <row r="1018" spans="1:6" x14ac:dyDescent="0.25">
      <c r="A1018" s="4" t="str">
        <f>CONCATENATE("3071-0000-5621","")</f>
        <v>3071-0000-5621</v>
      </c>
      <c r="B1018" s="4" t="s">
        <v>7200</v>
      </c>
      <c r="C1018" s="5">
        <v>41489</v>
      </c>
      <c r="D1018" s="5">
        <v>41549</v>
      </c>
      <c r="E1018" s="4" t="s">
        <v>5185</v>
      </c>
      <c r="F1018" s="4" t="s">
        <v>5185</v>
      </c>
    </row>
    <row r="1019" spans="1:6" x14ac:dyDescent="0.25">
      <c r="A1019" s="4" t="str">
        <f>CONCATENATE("3071-0000-0037","")</f>
        <v>3071-0000-0037</v>
      </c>
      <c r="B1019" s="4" t="s">
        <v>67</v>
      </c>
      <c r="C1019" s="5">
        <v>41489</v>
      </c>
      <c r="D1019" s="5">
        <v>41549</v>
      </c>
      <c r="E1019" s="4" t="s">
        <v>7</v>
      </c>
      <c r="F1019" s="4" t="s">
        <v>7</v>
      </c>
    </row>
    <row r="1020" spans="1:6" x14ac:dyDescent="0.25">
      <c r="A1020" s="4" t="str">
        <f>CONCATENATE("3071-0000-1749","")</f>
        <v>3071-0000-1749</v>
      </c>
      <c r="B1020" s="4" t="s">
        <v>2886</v>
      </c>
      <c r="C1020" s="5">
        <v>41489</v>
      </c>
      <c r="D1020" s="5">
        <v>41549</v>
      </c>
      <c r="E1020" s="4" t="s">
        <v>1381</v>
      </c>
      <c r="F1020" s="4" t="s">
        <v>2840</v>
      </c>
    </row>
    <row r="1021" spans="1:6" x14ac:dyDescent="0.25">
      <c r="A1021" s="4" t="str">
        <f>CONCATENATE("3071-0000-1845","")</f>
        <v>3071-0000-1845</v>
      </c>
      <c r="B1021" s="4" t="s">
        <v>2849</v>
      </c>
      <c r="C1021" s="5">
        <v>41489</v>
      </c>
      <c r="D1021" s="5">
        <v>41549</v>
      </c>
      <c r="E1021" s="4" t="s">
        <v>1381</v>
      </c>
      <c r="F1021" s="4" t="s">
        <v>2840</v>
      </c>
    </row>
    <row r="1022" spans="1:6" x14ac:dyDescent="0.25">
      <c r="A1022" s="4" t="str">
        <f>CONCATENATE("3071-0000-0210","")</f>
        <v>3071-0000-0210</v>
      </c>
      <c r="B1022" s="4" t="s">
        <v>450</v>
      </c>
      <c r="C1022" s="5">
        <v>41489</v>
      </c>
      <c r="D1022" s="5">
        <v>41549</v>
      </c>
      <c r="E1022" s="4" t="s">
        <v>7</v>
      </c>
      <c r="F1022" s="4" t="s">
        <v>7</v>
      </c>
    </row>
    <row r="1023" spans="1:6" x14ac:dyDescent="0.25">
      <c r="A1023" s="4" t="str">
        <f>CONCATENATE("3071-0000-6061","")</f>
        <v>3071-0000-6061</v>
      </c>
      <c r="B1023" s="4" t="s">
        <v>6985</v>
      </c>
      <c r="C1023" s="5">
        <v>41489</v>
      </c>
      <c r="D1023" s="5">
        <v>41549</v>
      </c>
      <c r="E1023" s="4" t="s">
        <v>1410</v>
      </c>
      <c r="F1023" s="4" t="s">
        <v>2142</v>
      </c>
    </row>
    <row r="1024" spans="1:6" x14ac:dyDescent="0.25">
      <c r="A1024" s="4" t="str">
        <f>CONCATENATE("3071-0000-2128","")</f>
        <v>3071-0000-2128</v>
      </c>
      <c r="B1024" s="4" t="s">
        <v>3526</v>
      </c>
      <c r="C1024" s="5">
        <v>41489</v>
      </c>
      <c r="D1024" s="5">
        <v>41549</v>
      </c>
      <c r="E1024" s="4" t="s">
        <v>2944</v>
      </c>
      <c r="F1024" s="4" t="s">
        <v>2945</v>
      </c>
    </row>
    <row r="1025" spans="1:6" x14ac:dyDescent="0.25">
      <c r="A1025" s="4" t="str">
        <f>CONCATENATE("3071-0000-2275","")</f>
        <v>3071-0000-2275</v>
      </c>
      <c r="B1025" s="4" t="s">
        <v>3798</v>
      </c>
      <c r="C1025" s="5">
        <v>41489</v>
      </c>
      <c r="D1025" s="5">
        <v>41549</v>
      </c>
      <c r="E1025" s="4" t="s">
        <v>2944</v>
      </c>
      <c r="F1025" s="4" t="s">
        <v>2945</v>
      </c>
    </row>
    <row r="1026" spans="1:6" x14ac:dyDescent="0.25">
      <c r="A1026" s="4" t="str">
        <f>CONCATENATE("3071-0000-2622","")</f>
        <v>3071-0000-2622</v>
      </c>
      <c r="B1026" s="4" t="s">
        <v>3151</v>
      </c>
      <c r="C1026" s="5">
        <v>41489</v>
      </c>
      <c r="D1026" s="5">
        <v>41549</v>
      </c>
      <c r="E1026" s="4" t="s">
        <v>2944</v>
      </c>
      <c r="F1026" s="4" t="s">
        <v>3115</v>
      </c>
    </row>
    <row r="1027" spans="1:6" x14ac:dyDescent="0.25">
      <c r="A1027" s="4" t="str">
        <f>CONCATENATE("3071-0000-2177","")</f>
        <v>3071-0000-2177</v>
      </c>
      <c r="B1027" s="4" t="s">
        <v>3657</v>
      </c>
      <c r="C1027" s="5">
        <v>41489</v>
      </c>
      <c r="D1027" s="5">
        <v>41549</v>
      </c>
      <c r="E1027" s="4" t="s">
        <v>2944</v>
      </c>
      <c r="F1027" s="4" t="s">
        <v>2945</v>
      </c>
    </row>
    <row r="1028" spans="1:6" x14ac:dyDescent="0.25">
      <c r="A1028" s="4" t="str">
        <f>CONCATENATE("3071-0000-2078","")</f>
        <v>3071-0000-2078</v>
      </c>
      <c r="B1028" s="4" t="s">
        <v>3461</v>
      </c>
      <c r="C1028" s="5">
        <v>41489</v>
      </c>
      <c r="D1028" s="5">
        <v>41549</v>
      </c>
      <c r="E1028" s="4" t="s">
        <v>2944</v>
      </c>
      <c r="F1028" s="4" t="s">
        <v>2945</v>
      </c>
    </row>
    <row r="1029" spans="1:6" x14ac:dyDescent="0.25">
      <c r="A1029" s="4" t="str">
        <f>CONCATENATE("3071-0000-2134","")</f>
        <v>3071-0000-2134</v>
      </c>
      <c r="B1029" s="4" t="s">
        <v>3553</v>
      </c>
      <c r="C1029" s="5">
        <v>41489</v>
      </c>
      <c r="D1029" s="5">
        <v>41549</v>
      </c>
      <c r="E1029" s="4" t="s">
        <v>2944</v>
      </c>
      <c r="F1029" s="4" t="s">
        <v>2945</v>
      </c>
    </row>
    <row r="1030" spans="1:6" x14ac:dyDescent="0.25">
      <c r="A1030" s="4" t="str">
        <f>CONCATENATE("3071-0000-2119","")</f>
        <v>3071-0000-2119</v>
      </c>
      <c r="B1030" s="4" t="s">
        <v>3556</v>
      </c>
      <c r="C1030" s="5">
        <v>41489</v>
      </c>
      <c r="D1030" s="5">
        <v>41549</v>
      </c>
      <c r="E1030" s="4" t="s">
        <v>2944</v>
      </c>
      <c r="F1030" s="4" t="s">
        <v>2945</v>
      </c>
    </row>
    <row r="1031" spans="1:6" x14ac:dyDescent="0.25">
      <c r="A1031" s="4" t="str">
        <f>CONCATENATE("3071-0000-2325","")</f>
        <v>3071-0000-2325</v>
      </c>
      <c r="B1031" s="4" t="s">
        <v>3154</v>
      </c>
      <c r="C1031" s="5">
        <v>41489</v>
      </c>
      <c r="D1031" s="5">
        <v>41549</v>
      </c>
      <c r="E1031" s="4" t="s">
        <v>2944</v>
      </c>
      <c r="F1031" s="4" t="s">
        <v>2945</v>
      </c>
    </row>
    <row r="1032" spans="1:6" x14ac:dyDescent="0.25">
      <c r="A1032" s="4" t="str">
        <f>CONCATENATE("3071-0000-2433","")</f>
        <v>3071-0000-2433</v>
      </c>
      <c r="B1032" s="4" t="s">
        <v>3771</v>
      </c>
      <c r="C1032" s="5">
        <v>41489</v>
      </c>
      <c r="D1032" s="5">
        <v>41549</v>
      </c>
      <c r="E1032" s="4" t="s">
        <v>2944</v>
      </c>
      <c r="F1032" s="4" t="s">
        <v>3115</v>
      </c>
    </row>
    <row r="1033" spans="1:6" x14ac:dyDescent="0.25">
      <c r="A1033" s="4" t="str">
        <f>CONCATENATE("3071-0000-8416","")</f>
        <v>3071-0000-8416</v>
      </c>
      <c r="B1033" s="4" t="s">
        <v>6246</v>
      </c>
      <c r="C1033" s="5">
        <v>41489</v>
      </c>
      <c r="D1033" s="5">
        <v>41549</v>
      </c>
      <c r="E1033" s="4" t="s">
        <v>5185</v>
      </c>
      <c r="F1033" s="4" t="s">
        <v>5185</v>
      </c>
    </row>
    <row r="1034" spans="1:6" x14ac:dyDescent="0.25">
      <c r="A1034" s="4" t="str">
        <f>CONCATENATE("3071-0000-3193","")</f>
        <v>3071-0000-3193</v>
      </c>
      <c r="B1034" s="4" t="s">
        <v>1124</v>
      </c>
      <c r="C1034" s="5">
        <v>41489</v>
      </c>
      <c r="D1034" s="5">
        <v>41549</v>
      </c>
      <c r="E1034" s="4" t="s">
        <v>7</v>
      </c>
      <c r="F1034" s="4" t="s">
        <v>808</v>
      </c>
    </row>
    <row r="1035" spans="1:6" x14ac:dyDescent="0.25">
      <c r="A1035" s="4" t="str">
        <f>CONCATENATE("3071-0000-0113","")</f>
        <v>3071-0000-0113</v>
      </c>
      <c r="B1035" s="4" t="s">
        <v>230</v>
      </c>
      <c r="C1035" s="5">
        <v>41489</v>
      </c>
      <c r="D1035" s="5">
        <v>41549</v>
      </c>
      <c r="E1035" s="4" t="s">
        <v>7</v>
      </c>
      <c r="F1035" s="4" t="s">
        <v>7</v>
      </c>
    </row>
    <row r="1036" spans="1:6" x14ac:dyDescent="0.25">
      <c r="A1036" s="4" t="str">
        <f>CONCATENATE("3071-0000-2204","")</f>
        <v>3071-0000-2204</v>
      </c>
      <c r="B1036" s="4" t="s">
        <v>3680</v>
      </c>
      <c r="C1036" s="5">
        <v>41489</v>
      </c>
      <c r="D1036" s="5">
        <v>41549</v>
      </c>
      <c r="E1036" s="4" t="s">
        <v>2944</v>
      </c>
      <c r="F1036" s="4" t="s">
        <v>2945</v>
      </c>
    </row>
    <row r="1037" spans="1:6" x14ac:dyDescent="0.25">
      <c r="A1037" s="4" t="str">
        <f>CONCATENATE("3071-0000-0131","")</f>
        <v>3071-0000-0131</v>
      </c>
      <c r="B1037" s="4" t="s">
        <v>280</v>
      </c>
      <c r="C1037" s="5">
        <v>41489</v>
      </c>
      <c r="D1037" s="5">
        <v>41549</v>
      </c>
      <c r="E1037" s="4" t="s">
        <v>7</v>
      </c>
      <c r="F1037" s="4" t="s">
        <v>7</v>
      </c>
    </row>
    <row r="1038" spans="1:6" x14ac:dyDescent="0.25">
      <c r="A1038" s="4" t="str">
        <f>CONCATENATE("3071-0000-3977","")</f>
        <v>3071-0000-3977</v>
      </c>
      <c r="B1038" s="4" t="s">
        <v>4204</v>
      </c>
      <c r="C1038" s="5">
        <v>41489</v>
      </c>
      <c r="D1038" s="5">
        <v>41549</v>
      </c>
      <c r="E1038" s="4" t="s">
        <v>2944</v>
      </c>
      <c r="F1038" s="4" t="s">
        <v>3513</v>
      </c>
    </row>
    <row r="1039" spans="1:6" x14ac:dyDescent="0.25">
      <c r="A1039" s="4" t="str">
        <f>CONCATENATE("3071-0000-3976","")</f>
        <v>3071-0000-3976</v>
      </c>
      <c r="B1039" s="4" t="s">
        <v>4207</v>
      </c>
      <c r="C1039" s="5">
        <v>41489</v>
      </c>
      <c r="D1039" s="5">
        <v>41549</v>
      </c>
      <c r="E1039" s="4" t="s">
        <v>2944</v>
      </c>
      <c r="F1039" s="4" t="s">
        <v>3513</v>
      </c>
    </row>
    <row r="1040" spans="1:6" x14ac:dyDescent="0.25">
      <c r="A1040" s="4" t="str">
        <f>CONCATENATE("3071-0000-9613","")</f>
        <v>3071-0000-9613</v>
      </c>
      <c r="B1040" s="4" t="s">
        <v>8451</v>
      </c>
      <c r="C1040" s="5">
        <v>41489</v>
      </c>
      <c r="D1040" s="5">
        <v>41549</v>
      </c>
      <c r="E1040" s="4" t="s">
        <v>1410</v>
      </c>
      <c r="F1040" s="4" t="s">
        <v>4459</v>
      </c>
    </row>
    <row r="1041" spans="1:6" x14ac:dyDescent="0.25">
      <c r="A1041" s="4" t="str">
        <f>CONCATENATE("3071-0000-5530","")</f>
        <v>3071-0000-5530</v>
      </c>
      <c r="B1041" s="4" t="s">
        <v>7340</v>
      </c>
      <c r="C1041" s="5">
        <v>41489</v>
      </c>
      <c r="D1041" s="5">
        <v>41549</v>
      </c>
      <c r="E1041" s="4" t="s">
        <v>5185</v>
      </c>
      <c r="F1041" s="4" t="s">
        <v>5185</v>
      </c>
    </row>
    <row r="1042" spans="1:6" x14ac:dyDescent="0.25">
      <c r="A1042" s="4" t="str">
        <f>CONCATENATE("3071-0000-9276","")</f>
        <v>3071-0000-9276</v>
      </c>
      <c r="B1042" s="4" t="s">
        <v>8332</v>
      </c>
      <c r="C1042" s="5">
        <v>41489</v>
      </c>
      <c r="D1042" s="5">
        <v>41549</v>
      </c>
      <c r="E1042" s="4" t="s">
        <v>5185</v>
      </c>
      <c r="F1042" s="4" t="s">
        <v>5185</v>
      </c>
    </row>
    <row r="1043" spans="1:6" x14ac:dyDescent="0.25">
      <c r="A1043" s="4" t="str">
        <f>CONCATENATE("3071-0000-9215","")</f>
        <v>3071-0000-9215</v>
      </c>
      <c r="B1043" s="4" t="s">
        <v>8277</v>
      </c>
      <c r="C1043" s="5">
        <v>41489</v>
      </c>
      <c r="D1043" s="5">
        <v>41549</v>
      </c>
      <c r="E1043" s="4" t="s">
        <v>5185</v>
      </c>
      <c r="F1043" s="4" t="s">
        <v>5185</v>
      </c>
    </row>
    <row r="1044" spans="1:6" x14ac:dyDescent="0.25">
      <c r="A1044" s="4" t="str">
        <f>CONCATENATE("3071-0000-2461","")</f>
        <v>3071-0000-2461</v>
      </c>
      <c r="B1044" s="4" t="s">
        <v>3060</v>
      </c>
      <c r="C1044" s="5">
        <v>41489</v>
      </c>
      <c r="D1044" s="5">
        <v>41549</v>
      </c>
      <c r="E1044" s="4" t="s">
        <v>2944</v>
      </c>
      <c r="F1044" s="4" t="s">
        <v>2945</v>
      </c>
    </row>
    <row r="1045" spans="1:6" x14ac:dyDescent="0.25">
      <c r="A1045" s="4" t="str">
        <f>CONCATENATE("3071-0000-9402","")</f>
        <v>3071-0000-9402</v>
      </c>
      <c r="B1045" s="4" t="s">
        <v>8501</v>
      </c>
      <c r="C1045" s="5">
        <v>41489</v>
      </c>
      <c r="D1045" s="5">
        <v>41549</v>
      </c>
      <c r="E1045" s="4" t="s">
        <v>1410</v>
      </c>
      <c r="F1045" s="4" t="s">
        <v>4459</v>
      </c>
    </row>
    <row r="1046" spans="1:6" x14ac:dyDescent="0.25">
      <c r="A1046" s="4" t="str">
        <f>CONCATENATE("3071-0000-0247","")</f>
        <v>3071-0000-0247</v>
      </c>
      <c r="B1046" s="4" t="s">
        <v>540</v>
      </c>
      <c r="C1046" s="5">
        <v>41489</v>
      </c>
      <c r="D1046" s="5">
        <v>41549</v>
      </c>
      <c r="E1046" s="4" t="s">
        <v>7</v>
      </c>
      <c r="F1046" s="4" t="s">
        <v>7</v>
      </c>
    </row>
    <row r="1047" spans="1:6" x14ac:dyDescent="0.25">
      <c r="A1047" s="4" t="str">
        <f>CONCATENATE("3071-0000-9607","")</f>
        <v>3071-0000-9607</v>
      </c>
      <c r="B1047" s="4" t="s">
        <v>8414</v>
      </c>
      <c r="C1047" s="5">
        <v>41489</v>
      </c>
      <c r="D1047" s="5">
        <v>41549</v>
      </c>
      <c r="E1047" s="4" t="s">
        <v>1410</v>
      </c>
      <c r="F1047" s="4" t="s">
        <v>4459</v>
      </c>
    </row>
    <row r="1048" spans="1:6" x14ac:dyDescent="0.25">
      <c r="A1048" s="4" t="str">
        <f>CONCATENATE("3071-0000-2610","")</f>
        <v>3071-0000-2610</v>
      </c>
      <c r="B1048" s="4" t="s">
        <v>3685</v>
      </c>
      <c r="C1048" s="5">
        <v>41489</v>
      </c>
      <c r="D1048" s="5">
        <v>41549</v>
      </c>
      <c r="E1048" s="4" t="s">
        <v>2944</v>
      </c>
      <c r="F1048" s="4" t="s">
        <v>3164</v>
      </c>
    </row>
    <row r="1049" spans="1:6" x14ac:dyDescent="0.25">
      <c r="A1049" s="4" t="str">
        <f>CONCATENATE("3071-0000-4180","")</f>
        <v>3071-0000-4180</v>
      </c>
      <c r="B1049" s="4" t="s">
        <v>4206</v>
      </c>
      <c r="C1049" s="5">
        <v>41489</v>
      </c>
      <c r="D1049" s="5">
        <v>41549</v>
      </c>
      <c r="E1049" s="4" t="s">
        <v>7</v>
      </c>
      <c r="F1049" s="4" t="s">
        <v>1419</v>
      </c>
    </row>
    <row r="1050" spans="1:6" x14ac:dyDescent="0.25">
      <c r="A1050" s="4" t="str">
        <f>CONCATENATE("3071-0000-2216","")</f>
        <v>3071-0000-2216</v>
      </c>
      <c r="B1050" s="4" t="s">
        <v>3719</v>
      </c>
      <c r="C1050" s="5">
        <v>41489</v>
      </c>
      <c r="D1050" s="5">
        <v>41549</v>
      </c>
      <c r="E1050" s="4" t="s">
        <v>2944</v>
      </c>
      <c r="F1050" s="4" t="s">
        <v>2945</v>
      </c>
    </row>
    <row r="1051" spans="1:6" x14ac:dyDescent="0.25">
      <c r="A1051" s="4" t="str">
        <f>CONCATENATE("3071-0000-3356","")</f>
        <v>3071-0000-3356</v>
      </c>
      <c r="B1051" s="4" t="s">
        <v>1485</v>
      </c>
      <c r="C1051" s="5">
        <v>41489</v>
      </c>
      <c r="D1051" s="5">
        <v>41549</v>
      </c>
      <c r="E1051" s="4" t="s">
        <v>1410</v>
      </c>
      <c r="F1051" s="4" t="s">
        <v>1411</v>
      </c>
    </row>
    <row r="1052" spans="1:6" x14ac:dyDescent="0.25">
      <c r="A1052" s="4" t="str">
        <f>CONCATENATE("3071-0000-2222","")</f>
        <v>3071-0000-2222</v>
      </c>
      <c r="B1052" s="4" t="s">
        <v>3717</v>
      </c>
      <c r="C1052" s="5">
        <v>41489</v>
      </c>
      <c r="D1052" s="5">
        <v>41549</v>
      </c>
      <c r="E1052" s="4" t="s">
        <v>2944</v>
      </c>
      <c r="F1052" s="4" t="s">
        <v>2945</v>
      </c>
    </row>
    <row r="1053" spans="1:6" x14ac:dyDescent="0.25">
      <c r="A1053" s="4" t="str">
        <f>CONCATENATE("3071-0000-2218","")</f>
        <v>3071-0000-2218</v>
      </c>
      <c r="B1053" s="4" t="s">
        <v>3715</v>
      </c>
      <c r="C1053" s="5">
        <v>41489</v>
      </c>
      <c r="D1053" s="5">
        <v>41549</v>
      </c>
      <c r="E1053" s="4" t="s">
        <v>2944</v>
      </c>
      <c r="F1053" s="4" t="s">
        <v>2945</v>
      </c>
    </row>
    <row r="1054" spans="1:6" x14ac:dyDescent="0.25">
      <c r="A1054" s="4" t="str">
        <f>CONCATENATE("3071-0000-3530","")</f>
        <v>3071-0000-3530</v>
      </c>
      <c r="B1054" s="4" t="s">
        <v>1504</v>
      </c>
      <c r="C1054" s="5">
        <v>41489</v>
      </c>
      <c r="D1054" s="5">
        <v>41549</v>
      </c>
      <c r="E1054" s="4" t="s">
        <v>1410</v>
      </c>
      <c r="F1054" s="4" t="s">
        <v>1411</v>
      </c>
    </row>
    <row r="1055" spans="1:6" x14ac:dyDescent="0.25">
      <c r="A1055" s="4" t="str">
        <f>CONCATENATE("3071-0000-0889","")</f>
        <v>3071-0000-0889</v>
      </c>
      <c r="B1055" s="4" t="s">
        <v>2035</v>
      </c>
      <c r="C1055" s="5">
        <v>41489</v>
      </c>
      <c r="D1055" s="5">
        <v>41549</v>
      </c>
      <c r="E1055" s="4" t="s">
        <v>1857</v>
      </c>
      <c r="F1055" s="4" t="s">
        <v>1857</v>
      </c>
    </row>
    <row r="1056" spans="1:6" x14ac:dyDescent="0.25">
      <c r="A1056" s="4" t="str">
        <f>CONCATENATE("3071-0000-1527","")</f>
        <v>3071-0000-1527</v>
      </c>
      <c r="B1056" s="4" t="s">
        <v>2795</v>
      </c>
      <c r="C1056" s="5">
        <v>41489</v>
      </c>
      <c r="D1056" s="5">
        <v>41549</v>
      </c>
      <c r="E1056" s="4" t="s">
        <v>1381</v>
      </c>
      <c r="F1056" s="4" t="s">
        <v>2303</v>
      </c>
    </row>
    <row r="1057" spans="1:6" x14ac:dyDescent="0.25">
      <c r="A1057" s="4" t="str">
        <f>CONCATENATE("3071-0000-7649","")</f>
        <v>3071-0000-7649</v>
      </c>
      <c r="B1057" s="4" t="s">
        <v>4705</v>
      </c>
      <c r="C1057" s="5">
        <v>41489</v>
      </c>
      <c r="D1057" s="5">
        <v>41549</v>
      </c>
      <c r="E1057" s="4" t="s">
        <v>1410</v>
      </c>
      <c r="F1057" s="4" t="s">
        <v>4655</v>
      </c>
    </row>
    <row r="1058" spans="1:6" x14ac:dyDescent="0.25">
      <c r="A1058" s="4" t="str">
        <f>CONCATENATE("3071-0000-2891","")</f>
        <v>3071-0000-2891</v>
      </c>
      <c r="B1058" s="4" t="s">
        <v>962</v>
      </c>
      <c r="C1058" s="5">
        <v>41489</v>
      </c>
      <c r="D1058" s="5">
        <v>41549</v>
      </c>
      <c r="E1058" s="4" t="s">
        <v>7</v>
      </c>
      <c r="F1058" s="4" t="s">
        <v>808</v>
      </c>
    </row>
    <row r="1059" spans="1:6" x14ac:dyDescent="0.25">
      <c r="A1059" s="4" t="str">
        <f>CONCATENATE("3071-0000-3269","")</f>
        <v>3071-0000-3269</v>
      </c>
      <c r="B1059" s="4" t="s">
        <v>1016</v>
      </c>
      <c r="C1059" s="5">
        <v>41489</v>
      </c>
      <c r="D1059" s="5">
        <v>41549</v>
      </c>
      <c r="E1059" s="4" t="s">
        <v>7</v>
      </c>
      <c r="F1059" s="4" t="s">
        <v>808</v>
      </c>
    </row>
    <row r="1060" spans="1:6" x14ac:dyDescent="0.25">
      <c r="A1060" s="4" t="str">
        <f>CONCATENATE("3071-0000-3047","")</f>
        <v>3071-0000-3047</v>
      </c>
      <c r="B1060" s="4" t="s">
        <v>1170</v>
      </c>
      <c r="C1060" s="5">
        <v>41489</v>
      </c>
      <c r="D1060" s="5">
        <v>41549</v>
      </c>
      <c r="E1060" s="4" t="s">
        <v>7</v>
      </c>
      <c r="F1060" s="4" t="s">
        <v>808</v>
      </c>
    </row>
    <row r="1061" spans="1:6" x14ac:dyDescent="0.25">
      <c r="A1061" s="4" t="str">
        <f>CONCATENATE("3071-0000-7678","")</f>
        <v>3071-0000-7678</v>
      </c>
      <c r="B1061" s="4" t="s">
        <v>4865</v>
      </c>
      <c r="C1061" s="5">
        <v>41489</v>
      </c>
      <c r="D1061" s="5">
        <v>41549</v>
      </c>
      <c r="E1061" s="4" t="s">
        <v>1410</v>
      </c>
      <c r="F1061" s="4" t="s">
        <v>4655</v>
      </c>
    </row>
    <row r="1062" spans="1:6" x14ac:dyDescent="0.25">
      <c r="A1062" s="4" t="str">
        <f>CONCATENATE("3071-0000-2321","")</f>
        <v>3071-0000-2321</v>
      </c>
      <c r="B1062" s="4" t="s">
        <v>3503</v>
      </c>
      <c r="C1062" s="5">
        <v>41489</v>
      </c>
      <c r="D1062" s="5">
        <v>41549</v>
      </c>
      <c r="E1062" s="4" t="s">
        <v>2944</v>
      </c>
      <c r="F1062" s="4" t="s">
        <v>2945</v>
      </c>
    </row>
    <row r="1063" spans="1:6" x14ac:dyDescent="0.25">
      <c r="A1063" s="4" t="str">
        <f>CONCATENATE("3071-0000-0767","")</f>
        <v>3071-0000-0767</v>
      </c>
      <c r="B1063" s="4" t="s">
        <v>555</v>
      </c>
      <c r="C1063" s="5">
        <v>41489</v>
      </c>
      <c r="D1063" s="5">
        <v>41549</v>
      </c>
      <c r="E1063" s="4" t="s">
        <v>7</v>
      </c>
      <c r="F1063" s="4" t="s">
        <v>7</v>
      </c>
    </row>
    <row r="1064" spans="1:6" x14ac:dyDescent="0.25">
      <c r="A1064" s="4" t="str">
        <f>CONCATENATE("3071-0000-2113","")</f>
        <v>3071-0000-2113</v>
      </c>
      <c r="B1064" s="4" t="s">
        <v>3095</v>
      </c>
      <c r="C1064" s="5">
        <v>41489</v>
      </c>
      <c r="D1064" s="5">
        <v>41549</v>
      </c>
      <c r="E1064" s="4" t="s">
        <v>2944</v>
      </c>
      <c r="F1064" s="4" t="s">
        <v>2945</v>
      </c>
    </row>
    <row r="1065" spans="1:6" x14ac:dyDescent="0.25">
      <c r="A1065" s="4" t="str">
        <f>CONCATENATE("3071-0000-3605","")</f>
        <v>3071-0000-3605</v>
      </c>
      <c r="B1065" s="4" t="s">
        <v>1503</v>
      </c>
      <c r="C1065" s="5">
        <v>41489</v>
      </c>
      <c r="D1065" s="5">
        <v>41549</v>
      </c>
      <c r="E1065" s="4" t="s">
        <v>1410</v>
      </c>
      <c r="F1065" s="4" t="s">
        <v>1411</v>
      </c>
    </row>
    <row r="1066" spans="1:6" x14ac:dyDescent="0.25">
      <c r="A1066" s="4" t="str">
        <f>CONCATENATE("3071-0000-2429","")</f>
        <v>3071-0000-2429</v>
      </c>
      <c r="B1066" s="4" t="s">
        <v>3093</v>
      </c>
      <c r="C1066" s="5">
        <v>41489</v>
      </c>
      <c r="D1066" s="5">
        <v>41549</v>
      </c>
      <c r="E1066" s="4" t="s">
        <v>2944</v>
      </c>
      <c r="F1066" s="4" t="s">
        <v>2945</v>
      </c>
    </row>
    <row r="1067" spans="1:6" x14ac:dyDescent="0.25">
      <c r="A1067" s="4" t="str">
        <f>CONCATENATE("3071-0000-7043","")</f>
        <v>3071-0000-7043</v>
      </c>
      <c r="B1067" s="4" t="s">
        <v>4814</v>
      </c>
      <c r="C1067" s="5">
        <v>41489</v>
      </c>
      <c r="D1067" s="5">
        <v>41549</v>
      </c>
      <c r="E1067" s="4" t="s">
        <v>1410</v>
      </c>
      <c r="F1067" s="4" t="s">
        <v>1410</v>
      </c>
    </row>
    <row r="1068" spans="1:6" x14ac:dyDescent="0.25">
      <c r="A1068" s="4" t="str">
        <f>CONCATENATE("3071-0000-0760","")</f>
        <v>3071-0000-0760</v>
      </c>
      <c r="B1068" s="4" t="s">
        <v>248</v>
      </c>
      <c r="C1068" s="5">
        <v>41489</v>
      </c>
      <c r="D1068" s="5">
        <v>41549</v>
      </c>
      <c r="E1068" s="4" t="s">
        <v>7</v>
      </c>
      <c r="F1068" s="4" t="s">
        <v>7</v>
      </c>
    </row>
    <row r="1069" spans="1:6" x14ac:dyDescent="0.25">
      <c r="A1069" s="4" t="str">
        <f>CONCATENATE("3071-0000-0350","")</f>
        <v>3071-0000-0350</v>
      </c>
      <c r="B1069" s="4" t="s">
        <v>245</v>
      </c>
      <c r="C1069" s="5">
        <v>41489</v>
      </c>
      <c r="D1069" s="5">
        <v>41549</v>
      </c>
      <c r="E1069" s="4" t="s">
        <v>7</v>
      </c>
      <c r="F1069" s="4" t="s">
        <v>7</v>
      </c>
    </row>
    <row r="1070" spans="1:6" x14ac:dyDescent="0.25">
      <c r="A1070" s="4" t="str">
        <f>CONCATENATE("3071-0000-1139","")</f>
        <v>3071-0000-1139</v>
      </c>
      <c r="B1070" s="4" t="s">
        <v>1897</v>
      </c>
      <c r="C1070" s="5">
        <v>41489</v>
      </c>
      <c r="D1070" s="5">
        <v>41549</v>
      </c>
      <c r="E1070" s="4" t="s">
        <v>1857</v>
      </c>
      <c r="F1070" s="4" t="s">
        <v>1857</v>
      </c>
    </row>
    <row r="1071" spans="1:6" x14ac:dyDescent="0.25">
      <c r="A1071" s="4" t="str">
        <f>CONCATENATE("3071-0000-1121","")</f>
        <v>3071-0000-1121</v>
      </c>
      <c r="B1071" s="4" t="s">
        <v>2064</v>
      </c>
      <c r="C1071" s="5">
        <v>41489</v>
      </c>
      <c r="D1071" s="5">
        <v>41549</v>
      </c>
      <c r="E1071" s="4" t="s">
        <v>1857</v>
      </c>
      <c r="F1071" s="4" t="s">
        <v>2056</v>
      </c>
    </row>
    <row r="1072" spans="1:6" x14ac:dyDescent="0.25">
      <c r="A1072" s="4" t="str">
        <f>CONCATENATE("3071-0000-4731","")</f>
        <v>3071-0000-4731</v>
      </c>
      <c r="B1072" s="4" t="s">
        <v>9668</v>
      </c>
      <c r="C1072" s="5">
        <v>41489</v>
      </c>
      <c r="D1072" s="5">
        <v>41549</v>
      </c>
      <c r="E1072" s="4" t="s">
        <v>1410</v>
      </c>
      <c r="F1072" s="4" t="s">
        <v>8696</v>
      </c>
    </row>
    <row r="1073" spans="1:6" x14ac:dyDescent="0.25">
      <c r="A1073" s="4" t="str">
        <f>CONCATENATE("3071-0000-4516","")</f>
        <v>3071-0000-4516</v>
      </c>
      <c r="B1073" s="4" t="s">
        <v>9522</v>
      </c>
      <c r="C1073" s="5">
        <v>41489</v>
      </c>
      <c r="D1073" s="5">
        <v>41549</v>
      </c>
      <c r="E1073" s="4" t="s">
        <v>1410</v>
      </c>
      <c r="F1073" s="4" t="s">
        <v>8696</v>
      </c>
    </row>
    <row r="1074" spans="1:6" x14ac:dyDescent="0.25">
      <c r="A1074" s="4" t="str">
        <f>CONCATENATE("3071-0000-4711","")</f>
        <v>3071-0000-4711</v>
      </c>
      <c r="B1074" s="4" t="s">
        <v>9650</v>
      </c>
      <c r="C1074" s="5">
        <v>41489</v>
      </c>
      <c r="D1074" s="5">
        <v>41549</v>
      </c>
      <c r="E1074" s="4" t="s">
        <v>1410</v>
      </c>
      <c r="F1074" s="4" t="s">
        <v>8696</v>
      </c>
    </row>
    <row r="1075" spans="1:6" x14ac:dyDescent="0.25">
      <c r="A1075" s="4" t="str">
        <f>CONCATENATE("3071-0000-4862","")</f>
        <v>3071-0000-4862</v>
      </c>
      <c r="B1075" s="4" t="s">
        <v>9359</v>
      </c>
      <c r="C1075" s="5">
        <v>41489</v>
      </c>
      <c r="D1075" s="5">
        <v>41549</v>
      </c>
      <c r="E1075" s="4" t="s">
        <v>7069</v>
      </c>
      <c r="F1075" s="4" t="s">
        <v>9210</v>
      </c>
    </row>
    <row r="1076" spans="1:6" x14ac:dyDescent="0.25">
      <c r="A1076" s="4" t="str">
        <f>CONCATENATE("3071-0000-4722","")</f>
        <v>3071-0000-4722</v>
      </c>
      <c r="B1076" s="4" t="s">
        <v>9683</v>
      </c>
      <c r="C1076" s="5">
        <v>41489</v>
      </c>
      <c r="D1076" s="5">
        <v>41549</v>
      </c>
      <c r="E1076" s="4" t="s">
        <v>1410</v>
      </c>
      <c r="F1076" s="4" t="s">
        <v>8696</v>
      </c>
    </row>
    <row r="1077" spans="1:6" x14ac:dyDescent="0.25">
      <c r="A1077" s="4" t="str">
        <f>CONCATENATE("3071-0000-1373","")</f>
        <v>3071-0000-1373</v>
      </c>
      <c r="B1077" s="4" t="s">
        <v>2541</v>
      </c>
      <c r="C1077" s="5">
        <v>41489</v>
      </c>
      <c r="D1077" s="5">
        <v>41549</v>
      </c>
      <c r="E1077" s="4" t="s">
        <v>1381</v>
      </c>
      <c r="F1077" s="4" t="s">
        <v>2303</v>
      </c>
    </row>
    <row r="1078" spans="1:6" x14ac:dyDescent="0.25">
      <c r="A1078" s="4" t="str">
        <f>CONCATENATE("3071-0000-4725","")</f>
        <v>3071-0000-4725</v>
      </c>
      <c r="B1078" s="4" t="s">
        <v>9686</v>
      </c>
      <c r="C1078" s="5">
        <v>41489</v>
      </c>
      <c r="D1078" s="5">
        <v>41549</v>
      </c>
      <c r="E1078" s="4" t="s">
        <v>1410</v>
      </c>
      <c r="F1078" s="4" t="s">
        <v>8696</v>
      </c>
    </row>
    <row r="1079" spans="1:6" x14ac:dyDescent="0.25">
      <c r="A1079" s="4" t="str">
        <f>CONCATENATE("3071-0000-4021","")</f>
        <v>3071-0000-4021</v>
      </c>
      <c r="B1079" s="4" t="s">
        <v>4229</v>
      </c>
      <c r="C1079" s="5">
        <v>41489</v>
      </c>
      <c r="D1079" s="5">
        <v>41549</v>
      </c>
      <c r="E1079" s="4" t="s">
        <v>7</v>
      </c>
      <c r="F1079" s="4" t="s">
        <v>1419</v>
      </c>
    </row>
    <row r="1080" spans="1:6" x14ac:dyDescent="0.25">
      <c r="A1080" s="4" t="str">
        <f>CONCATENATE("3071-0000-4137","")</f>
        <v>3071-0000-4137</v>
      </c>
      <c r="B1080" s="4" t="s">
        <v>4246</v>
      </c>
      <c r="C1080" s="5">
        <v>41489</v>
      </c>
      <c r="D1080" s="5">
        <v>41549</v>
      </c>
      <c r="E1080" s="4" t="s">
        <v>7</v>
      </c>
      <c r="F1080" s="4" t="s">
        <v>1419</v>
      </c>
    </row>
    <row r="1081" spans="1:6" x14ac:dyDescent="0.25">
      <c r="A1081" s="4" t="str">
        <f>CONCATENATE("3071-0000-9026","")</f>
        <v>3071-0000-9026</v>
      </c>
      <c r="B1081" s="4" t="s">
        <v>6506</v>
      </c>
      <c r="C1081" s="5">
        <v>41489</v>
      </c>
      <c r="D1081" s="5">
        <v>41549</v>
      </c>
      <c r="E1081" s="4" t="s">
        <v>5185</v>
      </c>
      <c r="F1081" s="4" t="s">
        <v>5292</v>
      </c>
    </row>
    <row r="1082" spans="1:6" x14ac:dyDescent="0.25">
      <c r="A1082" s="4" t="str">
        <f>CONCATENATE("3071-0000-9046","")</f>
        <v>3071-0000-9046</v>
      </c>
      <c r="B1082" s="4" t="s">
        <v>6472</v>
      </c>
      <c r="C1082" s="5">
        <v>41489</v>
      </c>
      <c r="D1082" s="5">
        <v>41549</v>
      </c>
      <c r="E1082" s="4" t="s">
        <v>5185</v>
      </c>
      <c r="F1082" s="4" t="s">
        <v>5292</v>
      </c>
    </row>
    <row r="1083" spans="1:6" x14ac:dyDescent="0.25">
      <c r="A1083" s="4" t="str">
        <f>CONCATENATE("3071-0000-2798","")</f>
        <v>3071-0000-2798</v>
      </c>
      <c r="B1083" s="4" t="s">
        <v>997</v>
      </c>
      <c r="C1083" s="5">
        <v>41489</v>
      </c>
      <c r="D1083" s="5">
        <v>41549</v>
      </c>
      <c r="E1083" s="4" t="s">
        <v>7</v>
      </c>
      <c r="F1083" s="4" t="s">
        <v>808</v>
      </c>
    </row>
    <row r="1084" spans="1:6" x14ac:dyDescent="0.25">
      <c r="A1084" s="4" t="str">
        <f>CONCATENATE("3071-0000-3241","")</f>
        <v>3071-0000-3241</v>
      </c>
      <c r="B1084" s="4" t="s">
        <v>1226</v>
      </c>
      <c r="C1084" s="5">
        <v>41489</v>
      </c>
      <c r="D1084" s="5">
        <v>41549</v>
      </c>
      <c r="E1084" s="4" t="s">
        <v>7</v>
      </c>
      <c r="F1084" s="4" t="s">
        <v>808</v>
      </c>
    </row>
    <row r="1085" spans="1:6" x14ac:dyDescent="0.25">
      <c r="A1085" s="4" t="str">
        <f>CONCATENATE("3071-0000-0474","")</f>
        <v>3071-0000-0474</v>
      </c>
      <c r="B1085" s="4" t="s">
        <v>409</v>
      </c>
      <c r="C1085" s="5">
        <v>41489</v>
      </c>
      <c r="D1085" s="5">
        <v>41549</v>
      </c>
      <c r="E1085" s="4" t="s">
        <v>7</v>
      </c>
      <c r="F1085" s="4" t="s">
        <v>273</v>
      </c>
    </row>
    <row r="1086" spans="1:6" x14ac:dyDescent="0.25">
      <c r="A1086" s="4" t="str">
        <f>CONCATENATE("3071-0000-0911","")</f>
        <v>3071-0000-0911</v>
      </c>
      <c r="B1086" s="4" t="s">
        <v>1908</v>
      </c>
      <c r="C1086" s="5">
        <v>41489</v>
      </c>
      <c r="D1086" s="5">
        <v>41549</v>
      </c>
      <c r="E1086" s="4" t="s">
        <v>1857</v>
      </c>
      <c r="F1086" s="4" t="s">
        <v>1857</v>
      </c>
    </row>
    <row r="1087" spans="1:6" x14ac:dyDescent="0.25">
      <c r="A1087" s="4" t="str">
        <f>CONCATENATE("3071-0000-3404","")</f>
        <v>3071-0000-3404</v>
      </c>
      <c r="B1087" s="4" t="s">
        <v>1566</v>
      </c>
      <c r="C1087" s="5">
        <v>41489</v>
      </c>
      <c r="D1087" s="5">
        <v>41549</v>
      </c>
      <c r="E1087" s="4" t="s">
        <v>1410</v>
      </c>
      <c r="F1087" s="4" t="s">
        <v>1411</v>
      </c>
    </row>
    <row r="1088" spans="1:6" x14ac:dyDescent="0.25">
      <c r="A1088" s="4" t="str">
        <f>CONCATENATE("3071-0000-1548","")</f>
        <v>3071-0000-1548</v>
      </c>
      <c r="B1088" s="4" t="s">
        <v>2316</v>
      </c>
      <c r="C1088" s="5">
        <v>41489</v>
      </c>
      <c r="D1088" s="5">
        <v>41549</v>
      </c>
      <c r="E1088" s="4" t="s">
        <v>1381</v>
      </c>
      <c r="F1088" s="4" t="s">
        <v>2303</v>
      </c>
    </row>
    <row r="1089" spans="1:6" x14ac:dyDescent="0.25">
      <c r="A1089" s="4" t="str">
        <f>CONCATENATE("3071-0000-0768","")</f>
        <v>3071-0000-0768</v>
      </c>
      <c r="B1089" s="4" t="s">
        <v>378</v>
      </c>
      <c r="C1089" s="5">
        <v>41489</v>
      </c>
      <c r="D1089" s="5">
        <v>41549</v>
      </c>
      <c r="E1089" s="4" t="s">
        <v>7</v>
      </c>
      <c r="F1089" s="4" t="s">
        <v>273</v>
      </c>
    </row>
    <row r="1090" spans="1:6" x14ac:dyDescent="0.25">
      <c r="A1090" s="4" t="str">
        <f>CONCATENATE("3071-0000-1760","")</f>
        <v>3071-0000-1760</v>
      </c>
      <c r="B1090" s="4" t="s">
        <v>2785</v>
      </c>
      <c r="C1090" s="5">
        <v>41489</v>
      </c>
      <c r="D1090" s="5">
        <v>41549</v>
      </c>
      <c r="E1090" s="4" t="s">
        <v>1381</v>
      </c>
      <c r="F1090" s="4" t="s">
        <v>2533</v>
      </c>
    </row>
    <row r="1091" spans="1:6" x14ac:dyDescent="0.25">
      <c r="A1091" s="4" t="str">
        <f>CONCATENATE("3071-0000-6558","")</f>
        <v>3071-0000-6558</v>
      </c>
      <c r="B1091" s="4" t="s">
        <v>7807</v>
      </c>
      <c r="C1091" s="5">
        <v>41489</v>
      </c>
      <c r="D1091" s="5">
        <v>41549</v>
      </c>
      <c r="E1091" s="4" t="s">
        <v>5185</v>
      </c>
      <c r="F1091" s="4" t="s">
        <v>5185</v>
      </c>
    </row>
    <row r="1092" spans="1:6" x14ac:dyDescent="0.25">
      <c r="A1092" s="4" t="str">
        <f>CONCATENATE("3071-0000-7350","")</f>
        <v>3071-0000-7350</v>
      </c>
      <c r="B1092" s="4" t="s">
        <v>4749</v>
      </c>
      <c r="C1092" s="5">
        <v>41489</v>
      </c>
      <c r="D1092" s="5">
        <v>41549</v>
      </c>
      <c r="E1092" s="4" t="s">
        <v>1410</v>
      </c>
      <c r="F1092" s="4" t="s">
        <v>1410</v>
      </c>
    </row>
    <row r="1093" spans="1:6" x14ac:dyDescent="0.25">
      <c r="A1093" s="4" t="str">
        <f>CONCATENATE("3071-0000-3829","")</f>
        <v>3071-0000-3829</v>
      </c>
      <c r="B1093" s="4" t="s">
        <v>3880</v>
      </c>
      <c r="C1093" s="5">
        <v>41489</v>
      </c>
      <c r="D1093" s="5">
        <v>41549</v>
      </c>
      <c r="E1093" s="4" t="s">
        <v>2944</v>
      </c>
      <c r="F1093" s="4" t="s">
        <v>3513</v>
      </c>
    </row>
    <row r="1094" spans="1:6" x14ac:dyDescent="0.25">
      <c r="A1094" s="4" t="str">
        <f>CONCATENATE("3071-0000-7733","")</f>
        <v>3071-0000-7733</v>
      </c>
      <c r="B1094" s="4" t="s">
        <v>4750</v>
      </c>
      <c r="C1094" s="5">
        <v>41489</v>
      </c>
      <c r="D1094" s="5">
        <v>41549</v>
      </c>
      <c r="E1094" s="4" t="s">
        <v>1410</v>
      </c>
      <c r="F1094" s="4" t="s">
        <v>4655</v>
      </c>
    </row>
    <row r="1095" spans="1:6" x14ac:dyDescent="0.25">
      <c r="A1095" s="4" t="str">
        <f>CONCATENATE("3071-0000-0316","")</f>
        <v>3071-0000-0316</v>
      </c>
      <c r="B1095" s="4" t="s">
        <v>176</v>
      </c>
      <c r="C1095" s="5">
        <v>41489</v>
      </c>
      <c r="D1095" s="5">
        <v>41549</v>
      </c>
      <c r="E1095" s="4" t="s">
        <v>7</v>
      </c>
      <c r="F1095" s="4" t="s">
        <v>7</v>
      </c>
    </row>
    <row r="1096" spans="1:6" x14ac:dyDescent="0.25">
      <c r="A1096" s="4" t="str">
        <f>CONCATENATE("3071-0000-6772","")</f>
        <v>3071-0000-6772</v>
      </c>
      <c r="B1096" s="4" t="s">
        <v>7796</v>
      </c>
      <c r="C1096" s="5">
        <v>41489</v>
      </c>
      <c r="D1096" s="5">
        <v>41549</v>
      </c>
      <c r="E1096" s="4" t="s">
        <v>1410</v>
      </c>
      <c r="F1096" s="4" t="s">
        <v>4655</v>
      </c>
    </row>
    <row r="1097" spans="1:6" x14ac:dyDescent="0.25">
      <c r="A1097" s="4" t="str">
        <f>CONCATENATE("3071-0000-3597","")</f>
        <v>3071-0000-3597</v>
      </c>
      <c r="B1097" s="4" t="s">
        <v>1565</v>
      </c>
      <c r="C1097" s="5">
        <v>41489</v>
      </c>
      <c r="D1097" s="5">
        <v>41549</v>
      </c>
      <c r="E1097" s="4" t="s">
        <v>1410</v>
      </c>
      <c r="F1097" s="4" t="s">
        <v>1411</v>
      </c>
    </row>
    <row r="1098" spans="1:6" x14ac:dyDescent="0.25">
      <c r="A1098" s="4" t="str">
        <f>CONCATENATE("3071-0000-0499","")</f>
        <v>3071-0000-0499</v>
      </c>
      <c r="B1098" s="4" t="s">
        <v>620</v>
      </c>
      <c r="C1098" s="5">
        <v>41489</v>
      </c>
      <c r="D1098" s="5">
        <v>41549</v>
      </c>
      <c r="E1098" s="4" t="s">
        <v>7</v>
      </c>
      <c r="F1098" s="4" t="s">
        <v>7</v>
      </c>
    </row>
    <row r="1099" spans="1:6" x14ac:dyDescent="0.25">
      <c r="A1099" s="4" t="str">
        <f>CONCATENATE("3071-0000-2680","")</f>
        <v>3071-0000-2680</v>
      </c>
      <c r="B1099" s="4" t="s">
        <v>3419</v>
      </c>
      <c r="C1099" s="5">
        <v>41489</v>
      </c>
      <c r="D1099" s="5">
        <v>41549</v>
      </c>
      <c r="E1099" s="4" t="s">
        <v>1857</v>
      </c>
      <c r="F1099" s="4" t="s">
        <v>3306</v>
      </c>
    </row>
    <row r="1100" spans="1:6" x14ac:dyDescent="0.25">
      <c r="A1100" s="4" t="str">
        <f>CONCATENATE("3071-0000-7153","")</f>
        <v>3071-0000-7153</v>
      </c>
      <c r="B1100" s="4" t="s">
        <v>4997</v>
      </c>
      <c r="C1100" s="5">
        <v>41489</v>
      </c>
      <c r="D1100" s="5">
        <v>41549</v>
      </c>
      <c r="E1100" s="4" t="s">
        <v>1410</v>
      </c>
      <c r="F1100" s="4" t="s">
        <v>1410</v>
      </c>
    </row>
    <row r="1101" spans="1:6" x14ac:dyDescent="0.25">
      <c r="A1101" s="4" t="str">
        <f>CONCATENATE("3071-0000-1980","")</f>
        <v>3071-0000-1980</v>
      </c>
      <c r="B1101" s="4" t="s">
        <v>3116</v>
      </c>
      <c r="C1101" s="5">
        <v>41489</v>
      </c>
      <c r="D1101" s="5">
        <v>41549</v>
      </c>
      <c r="E1101" s="4" t="s">
        <v>2944</v>
      </c>
      <c r="F1101" s="4" t="s">
        <v>2945</v>
      </c>
    </row>
    <row r="1102" spans="1:6" x14ac:dyDescent="0.25">
      <c r="A1102" s="4" t="str">
        <f>CONCATENATE("3071-0000-2111","")</f>
        <v>3071-0000-2111</v>
      </c>
      <c r="B1102" s="4" t="s">
        <v>3124</v>
      </c>
      <c r="C1102" s="5">
        <v>41489</v>
      </c>
      <c r="D1102" s="5">
        <v>41549</v>
      </c>
      <c r="E1102" s="4" t="s">
        <v>2944</v>
      </c>
      <c r="F1102" s="4" t="s">
        <v>2945</v>
      </c>
    </row>
    <row r="1103" spans="1:6" x14ac:dyDescent="0.25">
      <c r="A1103" s="4" t="str">
        <f>CONCATENATE("3071-0000-2012","")</f>
        <v>3071-0000-2012</v>
      </c>
      <c r="B1103" s="4" t="s">
        <v>3303</v>
      </c>
      <c r="C1103" s="5">
        <v>41489</v>
      </c>
      <c r="D1103" s="5">
        <v>41549</v>
      </c>
      <c r="E1103" s="4" t="s">
        <v>2944</v>
      </c>
      <c r="F1103" s="4" t="s">
        <v>2945</v>
      </c>
    </row>
    <row r="1104" spans="1:6" x14ac:dyDescent="0.25">
      <c r="A1104" s="4" t="str">
        <f>CONCATENATE("3071-0000-2549","")</f>
        <v>3071-0000-2549</v>
      </c>
      <c r="B1104" s="4" t="s">
        <v>3794</v>
      </c>
      <c r="C1104" s="5">
        <v>41489</v>
      </c>
      <c r="D1104" s="5">
        <v>41549</v>
      </c>
      <c r="E1104" s="4" t="s">
        <v>2944</v>
      </c>
      <c r="F1104" s="4" t="s">
        <v>3115</v>
      </c>
    </row>
    <row r="1105" spans="1:6" x14ac:dyDescent="0.25">
      <c r="A1105" s="4" t="str">
        <f>CONCATENATE("3071-0000-4004","")</f>
        <v>3071-0000-4004</v>
      </c>
      <c r="B1105" s="4" t="s">
        <v>4142</v>
      </c>
      <c r="C1105" s="5">
        <v>41489</v>
      </c>
      <c r="D1105" s="5">
        <v>41549</v>
      </c>
      <c r="E1105" s="4" t="s">
        <v>2944</v>
      </c>
      <c r="F1105" s="4" t="s">
        <v>3513</v>
      </c>
    </row>
    <row r="1106" spans="1:6" x14ac:dyDescent="0.25">
      <c r="A1106" s="4" t="str">
        <f>CONCATENATE("3071-0000-0414","")</f>
        <v>3071-0000-0414</v>
      </c>
      <c r="B1106" s="4" t="s">
        <v>627</v>
      </c>
      <c r="C1106" s="5">
        <v>41489</v>
      </c>
      <c r="D1106" s="5">
        <v>41549</v>
      </c>
      <c r="E1106" s="4" t="s">
        <v>7</v>
      </c>
      <c r="F1106" s="4" t="s">
        <v>7</v>
      </c>
    </row>
    <row r="1107" spans="1:6" x14ac:dyDescent="0.25">
      <c r="A1107" s="4" t="str">
        <f>CONCATENATE("3071-0000-2586","")</f>
        <v>3071-0000-2586</v>
      </c>
      <c r="B1107" s="4" t="s">
        <v>3263</v>
      </c>
      <c r="C1107" s="5">
        <v>41489</v>
      </c>
      <c r="D1107" s="5">
        <v>41549</v>
      </c>
      <c r="E1107" s="4" t="s">
        <v>2944</v>
      </c>
      <c r="F1107" s="4" t="s">
        <v>3164</v>
      </c>
    </row>
    <row r="1108" spans="1:6" x14ac:dyDescent="0.25">
      <c r="A1108" s="4" t="str">
        <f>CONCATENATE("3071-0000-2543","")</f>
        <v>3071-0000-2543</v>
      </c>
      <c r="B1108" s="4" t="s">
        <v>3086</v>
      </c>
      <c r="C1108" s="5">
        <v>41489</v>
      </c>
      <c r="D1108" s="5">
        <v>41549</v>
      </c>
      <c r="E1108" s="4" t="s">
        <v>2944</v>
      </c>
      <c r="F1108" s="4" t="s">
        <v>2945</v>
      </c>
    </row>
    <row r="1109" spans="1:6" x14ac:dyDescent="0.25">
      <c r="A1109" s="4" t="str">
        <f>CONCATENATE("3071-0000-7372","")</f>
        <v>3071-0000-7372</v>
      </c>
      <c r="B1109" s="4" t="s">
        <v>4508</v>
      </c>
      <c r="C1109" s="5">
        <v>41489</v>
      </c>
      <c r="D1109" s="5">
        <v>41549</v>
      </c>
      <c r="E1109" s="4" t="s">
        <v>1410</v>
      </c>
      <c r="F1109" s="4" t="s">
        <v>1410</v>
      </c>
    </row>
    <row r="1110" spans="1:6" x14ac:dyDescent="0.25">
      <c r="A1110" s="4" t="str">
        <f>CONCATENATE("3071-0000-4390","")</f>
        <v>3071-0000-4390</v>
      </c>
      <c r="B1110" s="4" t="s">
        <v>9244</v>
      </c>
      <c r="C1110" s="5">
        <v>41489</v>
      </c>
      <c r="D1110" s="5">
        <v>41549</v>
      </c>
      <c r="E1110" s="4" t="s">
        <v>7069</v>
      </c>
      <c r="F1110" s="4" t="s">
        <v>9210</v>
      </c>
    </row>
    <row r="1111" spans="1:6" x14ac:dyDescent="0.25">
      <c r="A1111" s="4" t="str">
        <f>CONCATENATE("3071-0000-8383","")</f>
        <v>3071-0000-8383</v>
      </c>
      <c r="B1111" s="4" t="s">
        <v>5421</v>
      </c>
      <c r="C1111" s="5">
        <v>41489</v>
      </c>
      <c r="D1111" s="5">
        <v>41549</v>
      </c>
      <c r="E1111" s="4" t="s">
        <v>5185</v>
      </c>
      <c r="F1111" s="4" t="s">
        <v>5185</v>
      </c>
    </row>
    <row r="1112" spans="1:6" x14ac:dyDescent="0.25">
      <c r="A1112" s="4" t="str">
        <f>CONCATENATE("3071-0000-7729","")</f>
        <v>3071-0000-7729</v>
      </c>
      <c r="B1112" s="4" t="s">
        <v>4411</v>
      </c>
      <c r="C1112" s="5">
        <v>41489</v>
      </c>
      <c r="D1112" s="5">
        <v>41549</v>
      </c>
      <c r="E1112" s="4" t="s">
        <v>1410</v>
      </c>
      <c r="F1112" s="4" t="s">
        <v>1410</v>
      </c>
    </row>
    <row r="1113" spans="1:6" x14ac:dyDescent="0.25">
      <c r="A1113" s="4" t="str">
        <f>CONCATENATE("3071-0000-7208","")</f>
        <v>3071-0000-7208</v>
      </c>
      <c r="B1113" s="4" t="s">
        <v>4980</v>
      </c>
      <c r="C1113" s="5">
        <v>41489</v>
      </c>
      <c r="D1113" s="5">
        <v>41549</v>
      </c>
      <c r="E1113" s="4" t="s">
        <v>1410</v>
      </c>
      <c r="F1113" s="4" t="s">
        <v>1410</v>
      </c>
    </row>
    <row r="1114" spans="1:6" x14ac:dyDescent="0.25">
      <c r="A1114" s="4" t="str">
        <f>CONCATENATE("3071-0000-8881","")</f>
        <v>3071-0000-8881</v>
      </c>
      <c r="B1114" s="4" t="s">
        <v>6305</v>
      </c>
      <c r="C1114" s="5">
        <v>41489</v>
      </c>
      <c r="D1114" s="5">
        <v>41549</v>
      </c>
      <c r="E1114" s="4" t="s">
        <v>5185</v>
      </c>
      <c r="F1114" s="4" t="s">
        <v>5292</v>
      </c>
    </row>
    <row r="1115" spans="1:6" x14ac:dyDescent="0.25">
      <c r="A1115" s="4" t="str">
        <f>CONCATENATE("3071-0000-6563","")</f>
        <v>3071-0000-6563</v>
      </c>
      <c r="B1115" s="4" t="s">
        <v>7812</v>
      </c>
      <c r="C1115" s="5">
        <v>41489</v>
      </c>
      <c r="D1115" s="5">
        <v>41549</v>
      </c>
      <c r="E1115" s="4" t="s">
        <v>5185</v>
      </c>
      <c r="F1115" s="4" t="s">
        <v>5185</v>
      </c>
    </row>
    <row r="1116" spans="1:6" x14ac:dyDescent="0.25">
      <c r="A1116" s="4" t="str">
        <f>CONCATENATE("3071-0000-4661","")</f>
        <v>3071-0000-4661</v>
      </c>
      <c r="B1116" s="4" t="s">
        <v>9095</v>
      </c>
      <c r="C1116" s="5">
        <v>41489</v>
      </c>
      <c r="D1116" s="5">
        <v>41549</v>
      </c>
      <c r="E1116" s="4" t="s">
        <v>1410</v>
      </c>
      <c r="F1116" s="4" t="s">
        <v>8696</v>
      </c>
    </row>
    <row r="1117" spans="1:6" x14ac:dyDescent="0.25">
      <c r="A1117" s="4" t="str">
        <f>CONCATENATE("3071-0000-7618","")</f>
        <v>3071-0000-7618</v>
      </c>
      <c r="B1117" s="4" t="s">
        <v>5014</v>
      </c>
      <c r="C1117" s="5">
        <v>41489</v>
      </c>
      <c r="D1117" s="5">
        <v>41549</v>
      </c>
      <c r="E1117" s="4" t="s">
        <v>1410</v>
      </c>
      <c r="F1117" s="4" t="s">
        <v>4616</v>
      </c>
    </row>
    <row r="1118" spans="1:6" x14ac:dyDescent="0.25">
      <c r="A1118" s="4" t="str">
        <f>CONCATENATE("3071-0000-2465","")</f>
        <v>3071-0000-2465</v>
      </c>
      <c r="B1118" s="4" t="s">
        <v>2981</v>
      </c>
      <c r="C1118" s="5">
        <v>41489</v>
      </c>
      <c r="D1118" s="5">
        <v>41549</v>
      </c>
      <c r="E1118" s="4" t="s">
        <v>2944</v>
      </c>
      <c r="F1118" s="4" t="s">
        <v>2949</v>
      </c>
    </row>
    <row r="1119" spans="1:6" x14ac:dyDescent="0.25">
      <c r="A1119" s="4" t="str">
        <f>CONCATENATE("3071-0000-8613","")</f>
        <v>3071-0000-8613</v>
      </c>
      <c r="B1119" s="4" t="s">
        <v>6111</v>
      </c>
      <c r="C1119" s="5">
        <v>41489</v>
      </c>
      <c r="D1119" s="5">
        <v>41549</v>
      </c>
      <c r="E1119" s="4" t="s">
        <v>5185</v>
      </c>
      <c r="F1119" s="4" t="s">
        <v>5945</v>
      </c>
    </row>
    <row r="1120" spans="1:6" x14ac:dyDescent="0.25">
      <c r="A1120" s="4" t="str">
        <f>CONCATENATE("3071-0000-3263","")</f>
        <v>3071-0000-3263</v>
      </c>
      <c r="B1120" s="4" t="s">
        <v>1019</v>
      </c>
      <c r="C1120" s="5">
        <v>41489</v>
      </c>
      <c r="D1120" s="5">
        <v>41549</v>
      </c>
      <c r="E1120" s="4" t="s">
        <v>7</v>
      </c>
      <c r="F1120" s="4" t="s">
        <v>808</v>
      </c>
    </row>
    <row r="1121" spans="1:6" x14ac:dyDescent="0.25">
      <c r="A1121" s="4" t="str">
        <f>CONCATENATE("3071-0000-0030","")</f>
        <v>3071-0000-0030</v>
      </c>
      <c r="B1121" s="4" t="s">
        <v>53</v>
      </c>
      <c r="C1121" s="5">
        <v>41489</v>
      </c>
      <c r="D1121" s="5">
        <v>41549</v>
      </c>
      <c r="E1121" s="4" t="s">
        <v>7</v>
      </c>
      <c r="F1121" s="4" t="s">
        <v>7</v>
      </c>
    </row>
    <row r="1122" spans="1:6" x14ac:dyDescent="0.25">
      <c r="A1122" s="4" t="str">
        <f>CONCATENATE("3071-0000-1972","")</f>
        <v>3071-0000-1972</v>
      </c>
      <c r="B1122" s="4" t="s">
        <v>3104</v>
      </c>
      <c r="C1122" s="5">
        <v>41489</v>
      </c>
      <c r="D1122" s="5">
        <v>41549</v>
      </c>
      <c r="E1122" s="4" t="s">
        <v>2944</v>
      </c>
      <c r="F1122" s="4" t="s">
        <v>2945</v>
      </c>
    </row>
    <row r="1123" spans="1:6" x14ac:dyDescent="0.25">
      <c r="A1123" s="4" t="str">
        <f>CONCATENATE("3071-0000-2227","")</f>
        <v>3071-0000-2227</v>
      </c>
      <c r="B1123" s="4" t="s">
        <v>3282</v>
      </c>
      <c r="C1123" s="5">
        <v>41489</v>
      </c>
      <c r="D1123" s="5">
        <v>41549</v>
      </c>
      <c r="E1123" s="4" t="s">
        <v>2944</v>
      </c>
      <c r="F1123" s="4" t="s">
        <v>2945</v>
      </c>
    </row>
    <row r="1124" spans="1:6" x14ac:dyDescent="0.25">
      <c r="A1124" s="4" t="str">
        <f>CONCATENATE("3071-0000-0029","")</f>
        <v>3071-0000-0029</v>
      </c>
      <c r="B1124" s="4" t="s">
        <v>52</v>
      </c>
      <c r="C1124" s="5">
        <v>41489</v>
      </c>
      <c r="D1124" s="5">
        <v>41549</v>
      </c>
      <c r="E1124" s="4" t="s">
        <v>7</v>
      </c>
      <c r="F1124" s="4" t="s">
        <v>7</v>
      </c>
    </row>
    <row r="1125" spans="1:6" x14ac:dyDescent="0.25">
      <c r="A1125" s="4" t="str">
        <f>CONCATENATE("3071-0000-6983","")</f>
        <v>3071-0000-6983</v>
      </c>
      <c r="B1125" s="4" t="s">
        <v>4471</v>
      </c>
      <c r="C1125" s="5">
        <v>41489</v>
      </c>
      <c r="D1125" s="5">
        <v>41549</v>
      </c>
      <c r="E1125" s="4" t="s">
        <v>1410</v>
      </c>
      <c r="F1125" s="4" t="s">
        <v>1410</v>
      </c>
    </row>
    <row r="1126" spans="1:6" x14ac:dyDescent="0.25">
      <c r="A1126" s="4" t="str">
        <f>CONCATENATE("3071-0000-2799","")</f>
        <v>3071-0000-2799</v>
      </c>
      <c r="B1126" s="4" t="s">
        <v>1002</v>
      </c>
      <c r="C1126" s="5">
        <v>41489</v>
      </c>
      <c r="D1126" s="5">
        <v>41549</v>
      </c>
      <c r="E1126" s="4" t="s">
        <v>7</v>
      </c>
      <c r="F1126" s="4" t="s">
        <v>808</v>
      </c>
    </row>
    <row r="1127" spans="1:6" x14ac:dyDescent="0.25">
      <c r="A1127" s="4" t="str">
        <f>CONCATENATE("3071-0000-0901","")</f>
        <v>3071-0000-0901</v>
      </c>
      <c r="B1127" s="4" t="s">
        <v>1964</v>
      </c>
      <c r="C1127" s="5">
        <v>41489</v>
      </c>
      <c r="D1127" s="5">
        <v>41549</v>
      </c>
      <c r="E1127" s="4" t="s">
        <v>1857</v>
      </c>
      <c r="F1127" s="4" t="s">
        <v>1857</v>
      </c>
    </row>
    <row r="1128" spans="1:6" x14ac:dyDescent="0.25">
      <c r="A1128" s="4" t="str">
        <f>CONCATENATE("3071-0000-8277","")</f>
        <v>3071-0000-8277</v>
      </c>
      <c r="B1128" s="4" t="s">
        <v>6215</v>
      </c>
      <c r="C1128" s="5">
        <v>41489</v>
      </c>
      <c r="D1128" s="5">
        <v>41549</v>
      </c>
      <c r="E1128" s="4" t="s">
        <v>5185</v>
      </c>
      <c r="F1128" s="4" t="s">
        <v>5185</v>
      </c>
    </row>
    <row r="1129" spans="1:6" x14ac:dyDescent="0.25">
      <c r="A1129" s="4" t="str">
        <f>CONCATENATE("3071-0000-9104","")</f>
        <v>3071-0000-9104</v>
      </c>
      <c r="B1129" s="4" t="s">
        <v>5289</v>
      </c>
      <c r="C1129" s="5">
        <v>41489</v>
      </c>
      <c r="D1129" s="5">
        <v>41549</v>
      </c>
      <c r="E1129" s="4" t="s">
        <v>5185</v>
      </c>
      <c r="F1129" s="4" t="s">
        <v>5185</v>
      </c>
    </row>
    <row r="1130" spans="1:6" x14ac:dyDescent="0.25">
      <c r="A1130" s="4" t="str">
        <f>CONCATENATE("3071-0000-0574","")</f>
        <v>3071-0000-0574</v>
      </c>
      <c r="B1130" s="4" t="s">
        <v>360</v>
      </c>
      <c r="C1130" s="5">
        <v>41489</v>
      </c>
      <c r="D1130" s="5">
        <v>41549</v>
      </c>
      <c r="E1130" s="4" t="s">
        <v>7</v>
      </c>
      <c r="F1130" s="4" t="s">
        <v>273</v>
      </c>
    </row>
    <row r="1131" spans="1:6" x14ac:dyDescent="0.25">
      <c r="A1131" s="4" t="str">
        <f>CONCATENATE("3071-0000-3590","")</f>
        <v>3071-0000-3590</v>
      </c>
      <c r="B1131" s="4" t="s">
        <v>1853</v>
      </c>
      <c r="C1131" s="5">
        <v>41489</v>
      </c>
      <c r="D1131" s="5">
        <v>41549</v>
      </c>
      <c r="E1131" s="4" t="s">
        <v>1410</v>
      </c>
      <c r="F1131" s="4" t="s">
        <v>1411</v>
      </c>
    </row>
    <row r="1132" spans="1:6" x14ac:dyDescent="0.25">
      <c r="A1132" s="4" t="str">
        <f>CONCATENATE("3071-0000-3444","")</f>
        <v>3071-0000-3444</v>
      </c>
      <c r="B1132" s="4" t="s">
        <v>1730</v>
      </c>
      <c r="C1132" s="5">
        <v>41489</v>
      </c>
      <c r="D1132" s="5">
        <v>41549</v>
      </c>
      <c r="E1132" s="4" t="s">
        <v>1410</v>
      </c>
      <c r="F1132" s="4" t="s">
        <v>1411</v>
      </c>
    </row>
    <row r="1133" spans="1:6" x14ac:dyDescent="0.25">
      <c r="A1133" s="4" t="str">
        <f>CONCATENATE("3071-0000-3403","")</f>
        <v>3071-0000-3403</v>
      </c>
      <c r="B1133" s="4" t="s">
        <v>1561</v>
      </c>
      <c r="C1133" s="5">
        <v>41489</v>
      </c>
      <c r="D1133" s="5">
        <v>41549</v>
      </c>
      <c r="E1133" s="4" t="s">
        <v>1410</v>
      </c>
      <c r="F1133" s="4" t="s">
        <v>1411</v>
      </c>
    </row>
    <row r="1134" spans="1:6" x14ac:dyDescent="0.25">
      <c r="A1134" s="4" t="str">
        <f>CONCATENATE("3071-0000-3472","")</f>
        <v>3071-0000-3472</v>
      </c>
      <c r="B1134" s="4" t="s">
        <v>1763</v>
      </c>
      <c r="C1134" s="5">
        <v>41489</v>
      </c>
      <c r="D1134" s="5">
        <v>41549</v>
      </c>
      <c r="E1134" s="4" t="s">
        <v>1410</v>
      </c>
      <c r="F1134" s="4" t="s">
        <v>1411</v>
      </c>
    </row>
    <row r="1135" spans="1:6" x14ac:dyDescent="0.25">
      <c r="A1135" s="4" t="str">
        <f>CONCATENATE("3071-0000-9419","")</f>
        <v>3071-0000-9419</v>
      </c>
      <c r="B1135" s="4" t="s">
        <v>8486</v>
      </c>
      <c r="C1135" s="5">
        <v>41489</v>
      </c>
      <c r="D1135" s="5">
        <v>41549</v>
      </c>
      <c r="E1135" s="4" t="s">
        <v>1410</v>
      </c>
      <c r="F1135" s="4" t="s">
        <v>4459</v>
      </c>
    </row>
    <row r="1136" spans="1:6" x14ac:dyDescent="0.25">
      <c r="A1136" s="4" t="str">
        <f>CONCATENATE("3071-0000-2851","")</f>
        <v>3071-0000-2851</v>
      </c>
      <c r="B1136" s="4" t="s">
        <v>1180</v>
      </c>
      <c r="C1136" s="5">
        <v>41489</v>
      </c>
      <c r="D1136" s="5">
        <v>41549</v>
      </c>
      <c r="E1136" s="4" t="s">
        <v>7</v>
      </c>
      <c r="F1136" s="4" t="s">
        <v>808</v>
      </c>
    </row>
    <row r="1137" spans="1:6" x14ac:dyDescent="0.25">
      <c r="A1137" s="4" t="str">
        <f>CONCATENATE("3071-0000-3446","")</f>
        <v>3071-0000-3446</v>
      </c>
      <c r="B1137" s="4" t="s">
        <v>1733</v>
      </c>
      <c r="C1137" s="5">
        <v>41489</v>
      </c>
      <c r="D1137" s="5">
        <v>41549</v>
      </c>
      <c r="E1137" s="4" t="s">
        <v>1410</v>
      </c>
      <c r="F1137" s="4" t="s">
        <v>1411</v>
      </c>
    </row>
    <row r="1138" spans="1:6" x14ac:dyDescent="0.25">
      <c r="A1138" s="4" t="str">
        <f>CONCATENATE("3071-0000-9423","")</f>
        <v>3071-0000-9423</v>
      </c>
      <c r="B1138" s="4" t="s">
        <v>8482</v>
      </c>
      <c r="C1138" s="5">
        <v>41489</v>
      </c>
      <c r="D1138" s="5">
        <v>41549</v>
      </c>
      <c r="E1138" s="4" t="s">
        <v>1410</v>
      </c>
      <c r="F1138" s="4" t="s">
        <v>4459</v>
      </c>
    </row>
    <row r="1139" spans="1:6" x14ac:dyDescent="0.25">
      <c r="A1139" s="4" t="str">
        <f>CONCATENATE("3071-0000-7397","")</f>
        <v>3071-0000-7397</v>
      </c>
      <c r="B1139" s="4" t="s">
        <v>4431</v>
      </c>
      <c r="C1139" s="5">
        <v>41489</v>
      </c>
      <c r="D1139" s="5">
        <v>41549</v>
      </c>
      <c r="E1139" s="4" t="s">
        <v>1410</v>
      </c>
      <c r="F1139" s="4" t="s">
        <v>1410</v>
      </c>
    </row>
    <row r="1140" spans="1:6" x14ac:dyDescent="0.25">
      <c r="A1140" s="4" t="str">
        <f>CONCATENATE("3071-0000-9615","")</f>
        <v>3071-0000-9615</v>
      </c>
      <c r="B1140" s="4" t="s">
        <v>8449</v>
      </c>
      <c r="C1140" s="5">
        <v>41489</v>
      </c>
      <c r="D1140" s="5">
        <v>41549</v>
      </c>
      <c r="E1140" s="4" t="s">
        <v>1410</v>
      </c>
      <c r="F1140" s="4" t="s">
        <v>4459</v>
      </c>
    </row>
    <row r="1141" spans="1:6" x14ac:dyDescent="0.25">
      <c r="A1141" s="4" t="str">
        <f>CONCATENATE("3071-0000-6936","")</f>
        <v>3071-0000-6936</v>
      </c>
      <c r="B1141" s="4" t="s">
        <v>4497</v>
      </c>
      <c r="C1141" s="5">
        <v>41489</v>
      </c>
      <c r="D1141" s="5">
        <v>41549</v>
      </c>
      <c r="E1141" s="4" t="s">
        <v>1410</v>
      </c>
      <c r="F1141" s="4" t="s">
        <v>1410</v>
      </c>
    </row>
    <row r="1142" spans="1:6" x14ac:dyDescent="0.25">
      <c r="A1142" s="4" t="str">
        <f>CONCATENATE("3071-0000-2993","")</f>
        <v>3071-0000-2993</v>
      </c>
      <c r="B1142" s="4" t="s">
        <v>1181</v>
      </c>
      <c r="C1142" s="5">
        <v>41489</v>
      </c>
      <c r="D1142" s="5">
        <v>41549</v>
      </c>
      <c r="E1142" s="4" t="s">
        <v>7</v>
      </c>
      <c r="F1142" s="4" t="s">
        <v>808</v>
      </c>
    </row>
    <row r="1143" spans="1:6" x14ac:dyDescent="0.25">
      <c r="A1143" s="4" t="str">
        <f>CONCATENATE("3071-0000-3650","")</f>
        <v>3071-0000-3650</v>
      </c>
      <c r="B1143" s="4" t="s">
        <v>1458</v>
      </c>
      <c r="C1143" s="5">
        <v>41489</v>
      </c>
      <c r="D1143" s="5">
        <v>41549</v>
      </c>
      <c r="E1143" s="4" t="s">
        <v>1410</v>
      </c>
      <c r="F1143" s="4" t="s">
        <v>1411</v>
      </c>
    </row>
    <row r="1144" spans="1:6" x14ac:dyDescent="0.25">
      <c r="A1144" s="4" t="str">
        <f>CONCATENATE("3071-0000-3137","")</f>
        <v>3071-0000-3137</v>
      </c>
      <c r="B1144" s="4" t="s">
        <v>1273</v>
      </c>
      <c r="C1144" s="5">
        <v>41489</v>
      </c>
      <c r="D1144" s="5">
        <v>41549</v>
      </c>
      <c r="E1144" s="4" t="s">
        <v>7</v>
      </c>
      <c r="F1144" s="4" t="s">
        <v>808</v>
      </c>
    </row>
    <row r="1145" spans="1:6" x14ac:dyDescent="0.25">
      <c r="A1145" s="4" t="str">
        <f>CONCATENATE("3071-0000-2852","")</f>
        <v>3071-0000-2852</v>
      </c>
      <c r="B1145" s="4" t="s">
        <v>1193</v>
      </c>
      <c r="C1145" s="5">
        <v>41489</v>
      </c>
      <c r="D1145" s="5">
        <v>41549</v>
      </c>
      <c r="E1145" s="4" t="s">
        <v>7</v>
      </c>
      <c r="F1145" s="4" t="s">
        <v>808</v>
      </c>
    </row>
    <row r="1146" spans="1:6" x14ac:dyDescent="0.25">
      <c r="A1146" s="4" t="str">
        <f>CONCATENATE("3071-0000-3457","")</f>
        <v>3071-0000-3457</v>
      </c>
      <c r="B1146" s="4" t="s">
        <v>1745</v>
      </c>
      <c r="C1146" s="5">
        <v>41489</v>
      </c>
      <c r="D1146" s="5">
        <v>41549</v>
      </c>
      <c r="E1146" s="4" t="s">
        <v>1410</v>
      </c>
      <c r="F1146" s="4" t="s">
        <v>1411</v>
      </c>
    </row>
    <row r="1147" spans="1:6" x14ac:dyDescent="0.25">
      <c r="A1147" s="4" t="str">
        <f>CONCATENATE("3071-0000-3716","")</f>
        <v>3071-0000-3716</v>
      </c>
      <c r="B1147" s="4" t="s">
        <v>1427</v>
      </c>
      <c r="C1147" s="5">
        <v>41489</v>
      </c>
      <c r="D1147" s="5">
        <v>41549</v>
      </c>
      <c r="E1147" s="4" t="s">
        <v>1410</v>
      </c>
      <c r="F1147" s="4" t="s">
        <v>1411</v>
      </c>
    </row>
    <row r="1148" spans="1:6" x14ac:dyDescent="0.25">
      <c r="A1148" s="4" t="str">
        <f>CONCATENATE("3071-0000-3109","")</f>
        <v>3071-0000-3109</v>
      </c>
      <c r="B1148" s="4" t="s">
        <v>862</v>
      </c>
      <c r="C1148" s="5">
        <v>41489</v>
      </c>
      <c r="D1148" s="5">
        <v>41549</v>
      </c>
      <c r="E1148" s="4" t="s">
        <v>7</v>
      </c>
      <c r="F1148" s="4" t="s">
        <v>812</v>
      </c>
    </row>
    <row r="1149" spans="1:6" x14ac:dyDescent="0.25">
      <c r="A1149" s="4" t="str">
        <f>CONCATENATE("3071-0000-2843","")</f>
        <v>3071-0000-2843</v>
      </c>
      <c r="B1149" s="4" t="s">
        <v>1133</v>
      </c>
      <c r="C1149" s="5">
        <v>41489</v>
      </c>
      <c r="D1149" s="5">
        <v>41549</v>
      </c>
      <c r="E1149" s="4" t="s">
        <v>7</v>
      </c>
      <c r="F1149" s="4" t="s">
        <v>808</v>
      </c>
    </row>
    <row r="1150" spans="1:6" x14ac:dyDescent="0.25">
      <c r="A1150" s="4" t="str">
        <f>CONCATENATE("3071-0000-2289","")</f>
        <v>3071-0000-2289</v>
      </c>
      <c r="B1150" s="4" t="s">
        <v>3737</v>
      </c>
      <c r="C1150" s="5">
        <v>41489</v>
      </c>
      <c r="D1150" s="5">
        <v>41549</v>
      </c>
      <c r="E1150" s="4" t="s">
        <v>2944</v>
      </c>
      <c r="F1150" s="4" t="s">
        <v>2945</v>
      </c>
    </row>
    <row r="1151" spans="1:6" x14ac:dyDescent="0.25">
      <c r="A1151" s="4" t="str">
        <f>CONCATENATE("3071-0000-0377","")</f>
        <v>3071-0000-0377</v>
      </c>
      <c r="B1151" s="4" t="s">
        <v>500</v>
      </c>
      <c r="C1151" s="5">
        <v>41489</v>
      </c>
      <c r="D1151" s="5">
        <v>41549</v>
      </c>
      <c r="E1151" s="4" t="s">
        <v>7</v>
      </c>
      <c r="F1151" s="4" t="s">
        <v>7</v>
      </c>
    </row>
    <row r="1152" spans="1:6" x14ac:dyDescent="0.25">
      <c r="A1152" s="4" t="str">
        <f>CONCATENATE("3071-0000-1220","")</f>
        <v>3071-0000-1220</v>
      </c>
      <c r="B1152" s="4" t="s">
        <v>2291</v>
      </c>
      <c r="C1152" s="5">
        <v>41489</v>
      </c>
      <c r="D1152" s="5">
        <v>41549</v>
      </c>
      <c r="E1152" s="4" t="s">
        <v>1381</v>
      </c>
      <c r="F1152" s="4" t="s">
        <v>2259</v>
      </c>
    </row>
    <row r="1153" spans="1:6" x14ac:dyDescent="0.25">
      <c r="A1153" s="4" t="str">
        <f>CONCATENATE("3071-0000-1205","")</f>
        <v>3071-0000-1205</v>
      </c>
      <c r="B1153" s="4" t="s">
        <v>2028</v>
      </c>
      <c r="C1153" s="5">
        <v>41489</v>
      </c>
      <c r="D1153" s="5">
        <v>41549</v>
      </c>
      <c r="E1153" s="4" t="s">
        <v>1857</v>
      </c>
      <c r="F1153" s="4" t="s">
        <v>1857</v>
      </c>
    </row>
    <row r="1154" spans="1:6" x14ac:dyDescent="0.25">
      <c r="A1154" s="4" t="str">
        <f>CONCATENATE("3071-0000-0698","")</f>
        <v>3071-0000-0698</v>
      </c>
      <c r="B1154" s="4" t="s">
        <v>482</v>
      </c>
      <c r="C1154" s="5">
        <v>41489</v>
      </c>
      <c r="D1154" s="5">
        <v>41549</v>
      </c>
      <c r="E1154" s="4" t="s">
        <v>7</v>
      </c>
      <c r="F1154" s="4" t="s">
        <v>7</v>
      </c>
    </row>
    <row r="1155" spans="1:6" x14ac:dyDescent="0.25">
      <c r="A1155" s="4" t="str">
        <f>CONCATENATE("3071-0000-1236","")</f>
        <v>3071-0000-1236</v>
      </c>
      <c r="B1155" s="4" t="s">
        <v>2027</v>
      </c>
      <c r="C1155" s="5">
        <v>41489</v>
      </c>
      <c r="D1155" s="5">
        <v>41549</v>
      </c>
      <c r="E1155" s="4" t="s">
        <v>1857</v>
      </c>
      <c r="F1155" s="4" t="s">
        <v>1857</v>
      </c>
    </row>
    <row r="1156" spans="1:6" x14ac:dyDescent="0.25">
      <c r="A1156" s="4" t="str">
        <f>CONCATENATE("3071-0000-3946","")</f>
        <v>3071-0000-3946</v>
      </c>
      <c r="B1156" s="4" t="s">
        <v>3944</v>
      </c>
      <c r="C1156" s="5">
        <v>41489</v>
      </c>
      <c r="D1156" s="5">
        <v>41549</v>
      </c>
      <c r="E1156" s="4" t="s">
        <v>2944</v>
      </c>
      <c r="F1156" s="4" t="s">
        <v>3513</v>
      </c>
    </row>
    <row r="1157" spans="1:6" x14ac:dyDescent="0.25">
      <c r="A1157" s="4" t="str">
        <f>CONCATENATE("3071-0000-3869","")</f>
        <v>3071-0000-3869</v>
      </c>
      <c r="B1157" s="4" t="s">
        <v>4018</v>
      </c>
      <c r="C1157" s="5">
        <v>41489</v>
      </c>
      <c r="D1157" s="5">
        <v>41549</v>
      </c>
      <c r="E1157" s="4" t="s">
        <v>1381</v>
      </c>
      <c r="F1157" s="4" t="s">
        <v>3994</v>
      </c>
    </row>
    <row r="1158" spans="1:6" x14ac:dyDescent="0.25">
      <c r="A1158" s="4" t="str">
        <f>CONCATENATE("3071-0000-4185","")</f>
        <v>3071-0000-4185</v>
      </c>
      <c r="B1158" s="4" t="s">
        <v>3942</v>
      </c>
      <c r="C1158" s="5">
        <v>41489</v>
      </c>
      <c r="D1158" s="5">
        <v>41549</v>
      </c>
      <c r="E1158" s="4" t="s">
        <v>7</v>
      </c>
      <c r="F1158" s="4" t="s">
        <v>1419</v>
      </c>
    </row>
    <row r="1159" spans="1:6" x14ac:dyDescent="0.25">
      <c r="A1159" s="4" t="str">
        <f>CONCATENATE("3071-0000-3945","")</f>
        <v>3071-0000-3945</v>
      </c>
      <c r="B1159" s="4" t="s">
        <v>3939</v>
      </c>
      <c r="C1159" s="5">
        <v>41489</v>
      </c>
      <c r="D1159" s="5">
        <v>41549</v>
      </c>
      <c r="E1159" s="4" t="s">
        <v>2944</v>
      </c>
      <c r="F1159" s="4" t="s">
        <v>3513</v>
      </c>
    </row>
    <row r="1160" spans="1:6" x14ac:dyDescent="0.25">
      <c r="A1160" s="4" t="str">
        <f>CONCATENATE("3071-0000-3726","")</f>
        <v>3071-0000-3726</v>
      </c>
      <c r="B1160" s="4" t="s">
        <v>1429</v>
      </c>
      <c r="C1160" s="5">
        <v>41489</v>
      </c>
      <c r="D1160" s="5">
        <v>41549</v>
      </c>
      <c r="E1160" s="4" t="s">
        <v>1410</v>
      </c>
      <c r="F1160" s="4" t="s">
        <v>1411</v>
      </c>
    </row>
    <row r="1161" spans="1:6" x14ac:dyDescent="0.25">
      <c r="A1161" s="4" t="str">
        <f>CONCATENATE("3071-0000-3727","")</f>
        <v>3071-0000-3727</v>
      </c>
      <c r="B1161" s="4" t="s">
        <v>1430</v>
      </c>
      <c r="C1161" s="5">
        <v>41489</v>
      </c>
      <c r="D1161" s="5">
        <v>41549</v>
      </c>
      <c r="E1161" s="4" t="s">
        <v>1410</v>
      </c>
      <c r="F1161" s="4" t="s">
        <v>1411</v>
      </c>
    </row>
    <row r="1162" spans="1:6" x14ac:dyDescent="0.25">
      <c r="A1162" s="4" t="str">
        <f>CONCATENATE("3071-0000-3949","")</f>
        <v>3071-0000-3949</v>
      </c>
      <c r="B1162" s="4" t="s">
        <v>3930</v>
      </c>
      <c r="C1162" s="5">
        <v>41489</v>
      </c>
      <c r="D1162" s="5">
        <v>41549</v>
      </c>
      <c r="E1162" s="4" t="s">
        <v>2944</v>
      </c>
      <c r="F1162" s="4" t="s">
        <v>3513</v>
      </c>
    </row>
    <row r="1163" spans="1:6" x14ac:dyDescent="0.25">
      <c r="A1163" s="4" t="str">
        <f>CONCATENATE("3071-0000-4104","")</f>
        <v>3071-0000-4104</v>
      </c>
      <c r="B1163" s="4" t="s">
        <v>4152</v>
      </c>
      <c r="C1163" s="5">
        <v>41489</v>
      </c>
      <c r="D1163" s="5">
        <v>41549</v>
      </c>
      <c r="E1163" s="4" t="s">
        <v>7</v>
      </c>
      <c r="F1163" s="4" t="s">
        <v>1419</v>
      </c>
    </row>
    <row r="1164" spans="1:6" x14ac:dyDescent="0.25">
      <c r="A1164" s="4" t="str">
        <f>CONCATENATE("3071-0000-2132","")</f>
        <v>3071-0000-2132</v>
      </c>
      <c r="B1164" s="4" t="s">
        <v>3533</v>
      </c>
      <c r="C1164" s="5">
        <v>41489</v>
      </c>
      <c r="D1164" s="5">
        <v>41549</v>
      </c>
      <c r="E1164" s="4" t="s">
        <v>2944</v>
      </c>
      <c r="F1164" s="4" t="s">
        <v>2945</v>
      </c>
    </row>
    <row r="1165" spans="1:6" x14ac:dyDescent="0.25">
      <c r="A1165" s="4" t="str">
        <f>CONCATENATE("3071-0000-2115","")</f>
        <v>3071-0000-2115</v>
      </c>
      <c r="B1165" s="4" t="s">
        <v>3546</v>
      </c>
      <c r="C1165" s="5">
        <v>41489</v>
      </c>
      <c r="D1165" s="5">
        <v>41549</v>
      </c>
      <c r="E1165" s="4" t="s">
        <v>2944</v>
      </c>
      <c r="F1165" s="4" t="s">
        <v>2945</v>
      </c>
    </row>
    <row r="1166" spans="1:6" x14ac:dyDescent="0.25">
      <c r="A1166" s="4" t="str">
        <f>CONCATENATE("3071-0000-4136","")</f>
        <v>3071-0000-4136</v>
      </c>
      <c r="B1166" s="4" t="s">
        <v>4249</v>
      </c>
      <c r="C1166" s="5">
        <v>41489</v>
      </c>
      <c r="D1166" s="5">
        <v>41549</v>
      </c>
      <c r="E1166" s="4" t="s">
        <v>7</v>
      </c>
      <c r="F1166" s="4" t="s">
        <v>1419</v>
      </c>
    </row>
    <row r="1167" spans="1:6" x14ac:dyDescent="0.25">
      <c r="A1167" s="4" t="str">
        <f>CONCATENATE("3071-0000-2385","")</f>
        <v>3071-0000-2385</v>
      </c>
      <c r="B1167" s="4" t="s">
        <v>3321</v>
      </c>
      <c r="C1167" s="5">
        <v>41489</v>
      </c>
      <c r="D1167" s="5">
        <v>41549</v>
      </c>
      <c r="E1167" s="4" t="s">
        <v>2944</v>
      </c>
      <c r="F1167" s="4" t="s">
        <v>2945</v>
      </c>
    </row>
    <row r="1168" spans="1:6" x14ac:dyDescent="0.25">
      <c r="A1168" s="4" t="str">
        <f>CONCATENATE("3071-0000-2626","")</f>
        <v>3071-0000-2626</v>
      </c>
      <c r="B1168" s="4" t="s">
        <v>3560</v>
      </c>
      <c r="C1168" s="5">
        <v>41489</v>
      </c>
      <c r="D1168" s="5">
        <v>41549</v>
      </c>
      <c r="E1168" s="4" t="s">
        <v>2944</v>
      </c>
      <c r="F1168" s="4" t="s">
        <v>3515</v>
      </c>
    </row>
    <row r="1169" spans="1:6" x14ac:dyDescent="0.25">
      <c r="A1169" s="4" t="str">
        <f>CONCATENATE("3071-0000-4050","")</f>
        <v>3071-0000-4050</v>
      </c>
      <c r="B1169" s="4" t="s">
        <v>3976</v>
      </c>
      <c r="C1169" s="5">
        <v>41489</v>
      </c>
      <c r="D1169" s="5">
        <v>41549</v>
      </c>
      <c r="E1169" s="4" t="s">
        <v>7</v>
      </c>
      <c r="F1169" s="4" t="s">
        <v>1419</v>
      </c>
    </row>
    <row r="1170" spans="1:6" x14ac:dyDescent="0.25">
      <c r="A1170" s="4" t="str">
        <f>CONCATENATE("3071-0000-0497","")</f>
        <v>3071-0000-0497</v>
      </c>
      <c r="B1170" s="4" t="s">
        <v>48</v>
      </c>
      <c r="C1170" s="5">
        <v>41489</v>
      </c>
      <c r="D1170" s="5">
        <v>41549</v>
      </c>
      <c r="E1170" s="4" t="s">
        <v>7</v>
      </c>
      <c r="F1170" s="4" t="s">
        <v>7</v>
      </c>
    </row>
    <row r="1171" spans="1:6" x14ac:dyDescent="0.25">
      <c r="A1171" s="4" t="str">
        <f>CONCATENATE("3071-0000-3608","")</f>
        <v>3071-0000-3608</v>
      </c>
      <c r="B1171" s="4" t="s">
        <v>1453</v>
      </c>
      <c r="C1171" s="5">
        <v>41489</v>
      </c>
      <c r="D1171" s="5">
        <v>41549</v>
      </c>
      <c r="E1171" s="4" t="s">
        <v>1410</v>
      </c>
      <c r="F1171" s="4" t="s">
        <v>1411</v>
      </c>
    </row>
    <row r="1172" spans="1:6" x14ac:dyDescent="0.25">
      <c r="A1172" s="4" t="str">
        <f>CONCATENATE("3071-0000-0320","")</f>
        <v>3071-0000-0320</v>
      </c>
      <c r="B1172" s="4" t="s">
        <v>237</v>
      </c>
      <c r="C1172" s="5">
        <v>41489</v>
      </c>
      <c r="D1172" s="5">
        <v>41549</v>
      </c>
      <c r="E1172" s="4" t="s">
        <v>7</v>
      </c>
      <c r="F1172" s="4" t="s">
        <v>7</v>
      </c>
    </row>
    <row r="1173" spans="1:6" x14ac:dyDescent="0.25">
      <c r="A1173" s="4" t="str">
        <f>CONCATENATE("3071-0000-1858","")</f>
        <v>3071-0000-1858</v>
      </c>
      <c r="B1173" s="4" t="s">
        <v>2679</v>
      </c>
      <c r="C1173" s="5">
        <v>41489</v>
      </c>
      <c r="D1173" s="5">
        <v>41549</v>
      </c>
      <c r="E1173" s="4" t="s">
        <v>1381</v>
      </c>
      <c r="F1173" s="4" t="s">
        <v>2662</v>
      </c>
    </row>
    <row r="1174" spans="1:6" x14ac:dyDescent="0.25">
      <c r="A1174" s="4" t="str">
        <f>CONCATENATE("3071-0000-0975","")</f>
        <v>3071-0000-0975</v>
      </c>
      <c r="B1174" s="4" t="s">
        <v>2030</v>
      </c>
      <c r="C1174" s="5">
        <v>41489</v>
      </c>
      <c r="D1174" s="5">
        <v>41549</v>
      </c>
      <c r="E1174" s="4" t="s">
        <v>1857</v>
      </c>
      <c r="F1174" s="4" t="s">
        <v>1857</v>
      </c>
    </row>
    <row r="1175" spans="1:6" x14ac:dyDescent="0.25">
      <c r="A1175" s="4" t="str">
        <f>CONCATENATE("3071-0000-1068","")</f>
        <v>3071-0000-1068</v>
      </c>
      <c r="B1175" s="4" t="s">
        <v>2175</v>
      </c>
      <c r="C1175" s="5">
        <v>41489</v>
      </c>
      <c r="D1175" s="5">
        <v>41549</v>
      </c>
      <c r="E1175" s="4" t="s">
        <v>1857</v>
      </c>
      <c r="F1175" s="4" t="s">
        <v>1857</v>
      </c>
    </row>
    <row r="1176" spans="1:6" x14ac:dyDescent="0.25">
      <c r="A1176" s="4" t="str">
        <f>CONCATENATE("3071-0000-0972","")</f>
        <v>3071-0000-0972</v>
      </c>
      <c r="B1176" s="4" t="s">
        <v>2173</v>
      </c>
      <c r="C1176" s="5">
        <v>41489</v>
      </c>
      <c r="D1176" s="5">
        <v>41549</v>
      </c>
      <c r="E1176" s="4" t="s">
        <v>1857</v>
      </c>
      <c r="F1176" s="4" t="s">
        <v>1857</v>
      </c>
    </row>
    <row r="1177" spans="1:6" x14ac:dyDescent="0.25">
      <c r="A1177" s="4" t="str">
        <f>CONCATENATE("3071-0000-1116","")</f>
        <v>3071-0000-1116</v>
      </c>
      <c r="B1177" s="4" t="s">
        <v>2003</v>
      </c>
      <c r="C1177" s="5">
        <v>41489</v>
      </c>
      <c r="D1177" s="5">
        <v>41549</v>
      </c>
      <c r="E1177" s="4" t="s">
        <v>1857</v>
      </c>
      <c r="F1177" s="4" t="s">
        <v>1857</v>
      </c>
    </row>
    <row r="1178" spans="1:6" x14ac:dyDescent="0.25">
      <c r="A1178" s="4" t="str">
        <f>CONCATENATE("3071-0000-8199","")</f>
        <v>3071-0000-8199</v>
      </c>
      <c r="B1178" s="4" t="s">
        <v>5844</v>
      </c>
      <c r="C1178" s="5">
        <v>41489</v>
      </c>
      <c r="D1178" s="5">
        <v>41549</v>
      </c>
      <c r="E1178" s="4" t="s">
        <v>5185</v>
      </c>
      <c r="F1178" s="4" t="s">
        <v>5185</v>
      </c>
    </row>
    <row r="1179" spans="1:6" x14ac:dyDescent="0.25">
      <c r="A1179" s="4" t="str">
        <f>CONCATENATE("3071-0000-2026","")</f>
        <v>3071-0000-2026</v>
      </c>
      <c r="B1179" s="4" t="s">
        <v>3313</v>
      </c>
      <c r="C1179" s="5">
        <v>41489</v>
      </c>
      <c r="D1179" s="5">
        <v>41549</v>
      </c>
      <c r="E1179" s="4" t="s">
        <v>2944</v>
      </c>
      <c r="F1179" s="4" t="s">
        <v>2945</v>
      </c>
    </row>
    <row r="1180" spans="1:6" x14ac:dyDescent="0.25">
      <c r="A1180" s="4" t="str">
        <f>CONCATENATE("3071-0000-2660","")</f>
        <v>3071-0000-2660</v>
      </c>
      <c r="B1180" s="4" t="s">
        <v>3384</v>
      </c>
      <c r="C1180" s="5">
        <v>41489</v>
      </c>
      <c r="D1180" s="5">
        <v>41549</v>
      </c>
      <c r="E1180" s="4" t="s">
        <v>1857</v>
      </c>
      <c r="F1180" s="4" t="s">
        <v>3306</v>
      </c>
    </row>
    <row r="1181" spans="1:6" x14ac:dyDescent="0.25">
      <c r="A1181" s="4" t="str">
        <f>CONCATENATE("3071-0000-2048","")</f>
        <v>3071-0000-2048</v>
      </c>
      <c r="B1181" s="4" t="s">
        <v>3340</v>
      </c>
      <c r="C1181" s="5">
        <v>41489</v>
      </c>
      <c r="D1181" s="5">
        <v>41549</v>
      </c>
      <c r="E1181" s="4" t="s">
        <v>2944</v>
      </c>
      <c r="F1181" s="4" t="s">
        <v>2945</v>
      </c>
    </row>
    <row r="1182" spans="1:6" x14ac:dyDescent="0.25">
      <c r="A1182" s="4" t="str">
        <f>CONCATENATE("3071-0000-0820","")</f>
        <v>3071-0000-0820</v>
      </c>
      <c r="B1182" s="4" t="s">
        <v>1947</v>
      </c>
      <c r="C1182" s="5">
        <v>41489</v>
      </c>
      <c r="D1182" s="5">
        <v>41549</v>
      </c>
      <c r="E1182" s="4" t="s">
        <v>1857</v>
      </c>
      <c r="F1182" s="4" t="s">
        <v>1857</v>
      </c>
    </row>
    <row r="1183" spans="1:6" x14ac:dyDescent="0.25">
      <c r="A1183" s="4" t="str">
        <f>CONCATENATE("3071-0000-7862","")</f>
        <v>3071-0000-7862</v>
      </c>
      <c r="B1183" s="4" t="s">
        <v>5833</v>
      </c>
      <c r="C1183" s="5">
        <v>41489</v>
      </c>
      <c r="D1183" s="5">
        <v>41549</v>
      </c>
      <c r="E1183" s="4" t="s">
        <v>5185</v>
      </c>
      <c r="F1183" s="4" t="s">
        <v>5185</v>
      </c>
    </row>
    <row r="1184" spans="1:6" x14ac:dyDescent="0.25">
      <c r="A1184" s="4" t="str">
        <f>CONCATENATE("3071-0000-4916","")</f>
        <v>3071-0000-4916</v>
      </c>
      <c r="B1184" s="4" t="s">
        <v>8767</v>
      </c>
      <c r="C1184" s="5">
        <v>41489</v>
      </c>
      <c r="D1184" s="5">
        <v>41549</v>
      </c>
      <c r="E1184" s="4" t="s">
        <v>1410</v>
      </c>
      <c r="F1184" s="4" t="s">
        <v>8696</v>
      </c>
    </row>
    <row r="1185" spans="1:6" x14ac:dyDescent="0.25">
      <c r="A1185" s="4" t="str">
        <f>CONCATENATE("3071-0000-3762","")</f>
        <v>3071-0000-3762</v>
      </c>
      <c r="B1185" s="4" t="s">
        <v>1620</v>
      </c>
      <c r="C1185" s="5">
        <v>41489</v>
      </c>
      <c r="D1185" s="5">
        <v>41549</v>
      </c>
      <c r="E1185" s="4" t="s">
        <v>1410</v>
      </c>
      <c r="F1185" s="4" t="s">
        <v>1613</v>
      </c>
    </row>
    <row r="1186" spans="1:6" x14ac:dyDescent="0.25">
      <c r="A1186" s="4" t="str">
        <f>CONCATENATE("3071-0000-0094","")</f>
        <v>3071-0000-0094</v>
      </c>
      <c r="B1186" s="4" t="s">
        <v>185</v>
      </c>
      <c r="C1186" s="5">
        <v>41489</v>
      </c>
      <c r="D1186" s="5">
        <v>41549</v>
      </c>
      <c r="E1186" s="4" t="s">
        <v>7</v>
      </c>
      <c r="F1186" s="4" t="s">
        <v>7</v>
      </c>
    </row>
    <row r="1187" spans="1:6" x14ac:dyDescent="0.25">
      <c r="A1187" s="4" t="str">
        <f>CONCATENATE("3071-0000-3639","")</f>
        <v>3071-0000-3639</v>
      </c>
      <c r="B1187" s="4" t="s">
        <v>1463</v>
      </c>
      <c r="C1187" s="5">
        <v>41489</v>
      </c>
      <c r="D1187" s="5">
        <v>41549</v>
      </c>
      <c r="E1187" s="4" t="s">
        <v>1410</v>
      </c>
      <c r="F1187" s="4" t="s">
        <v>1411</v>
      </c>
    </row>
    <row r="1188" spans="1:6" x14ac:dyDescent="0.25">
      <c r="A1188" s="4" t="str">
        <f>CONCATENATE("3071-0000-4337","")</f>
        <v>3071-0000-4337</v>
      </c>
      <c r="B1188" s="4" t="s">
        <v>8751</v>
      </c>
      <c r="C1188" s="5">
        <v>41489</v>
      </c>
      <c r="D1188" s="5">
        <v>41549</v>
      </c>
      <c r="E1188" s="4" t="s">
        <v>1410</v>
      </c>
      <c r="F1188" s="4" t="s">
        <v>8696</v>
      </c>
    </row>
    <row r="1189" spans="1:6" x14ac:dyDescent="0.25">
      <c r="A1189" s="4" t="str">
        <f>CONCATENATE("3071-0000-4339","")</f>
        <v>3071-0000-4339</v>
      </c>
      <c r="B1189" s="4" t="s">
        <v>8754</v>
      </c>
      <c r="C1189" s="5">
        <v>41489</v>
      </c>
      <c r="D1189" s="5">
        <v>41549</v>
      </c>
      <c r="E1189" s="4" t="s">
        <v>1410</v>
      </c>
      <c r="F1189" s="4" t="s">
        <v>8696</v>
      </c>
    </row>
    <row r="1190" spans="1:6" x14ac:dyDescent="0.25">
      <c r="A1190" s="4" t="str">
        <f>CONCATENATE("3071-0000-4236","")</f>
        <v>3071-0000-4236</v>
      </c>
      <c r="B1190" s="4" t="s">
        <v>8710</v>
      </c>
      <c r="C1190" s="5">
        <v>41489</v>
      </c>
      <c r="D1190" s="5">
        <v>41549</v>
      </c>
      <c r="E1190" s="4" t="s">
        <v>1410</v>
      </c>
      <c r="F1190" s="4" t="s">
        <v>8696</v>
      </c>
    </row>
    <row r="1191" spans="1:6" x14ac:dyDescent="0.25">
      <c r="A1191" s="4" t="str">
        <f>CONCATENATE("3071-0000-4327","")</f>
        <v>3071-0000-4327</v>
      </c>
      <c r="B1191" s="4" t="s">
        <v>8769</v>
      </c>
      <c r="C1191" s="5">
        <v>41489</v>
      </c>
      <c r="D1191" s="5">
        <v>41549</v>
      </c>
      <c r="E1191" s="4" t="s">
        <v>1410</v>
      </c>
      <c r="F1191" s="4" t="s">
        <v>8696</v>
      </c>
    </row>
    <row r="1192" spans="1:6" x14ac:dyDescent="0.25">
      <c r="A1192" s="4" t="str">
        <f>CONCATENATE("3071-0000-9284","")</f>
        <v>3071-0000-9284</v>
      </c>
      <c r="B1192" s="4" t="s">
        <v>8325</v>
      </c>
      <c r="C1192" s="5">
        <v>41489</v>
      </c>
      <c r="D1192" s="5">
        <v>41549</v>
      </c>
      <c r="E1192" s="4" t="s">
        <v>5185</v>
      </c>
      <c r="F1192" s="4" t="s">
        <v>5185</v>
      </c>
    </row>
    <row r="1193" spans="1:6" x14ac:dyDescent="0.25">
      <c r="A1193" s="4" t="str">
        <f>CONCATENATE("3071-0000-1587","")</f>
        <v>3071-0000-1587</v>
      </c>
      <c r="B1193" s="4" t="s">
        <v>2817</v>
      </c>
      <c r="C1193" s="5">
        <v>41489</v>
      </c>
      <c r="D1193" s="5">
        <v>41549</v>
      </c>
      <c r="E1193" s="4" t="s">
        <v>1381</v>
      </c>
      <c r="F1193" s="4" t="s">
        <v>2303</v>
      </c>
    </row>
    <row r="1194" spans="1:6" x14ac:dyDescent="0.25">
      <c r="A1194" s="4" t="str">
        <f>CONCATENATE("3071-0000-8434","")</f>
        <v>3071-0000-8434</v>
      </c>
      <c r="B1194" s="4" t="s">
        <v>5277</v>
      </c>
      <c r="C1194" s="5">
        <v>41489</v>
      </c>
      <c r="D1194" s="5">
        <v>41549</v>
      </c>
      <c r="E1194" s="4" t="s">
        <v>5185</v>
      </c>
      <c r="F1194" s="4" t="s">
        <v>5185</v>
      </c>
    </row>
    <row r="1195" spans="1:6" x14ac:dyDescent="0.25">
      <c r="A1195" s="4" t="str">
        <f>CONCATENATE("3071-0000-4244","")</f>
        <v>3071-0000-4244</v>
      </c>
      <c r="B1195" s="4" t="s">
        <v>8708</v>
      </c>
      <c r="C1195" s="5">
        <v>41489</v>
      </c>
      <c r="D1195" s="5">
        <v>41549</v>
      </c>
      <c r="E1195" s="4" t="s">
        <v>1410</v>
      </c>
      <c r="F1195" s="4" t="s">
        <v>8696</v>
      </c>
    </row>
    <row r="1196" spans="1:6" x14ac:dyDescent="0.25">
      <c r="A1196" s="4" t="str">
        <f>CONCATENATE("3071-0000-6361","")</f>
        <v>3071-0000-6361</v>
      </c>
      <c r="B1196" s="4" t="s">
        <v>7882</v>
      </c>
      <c r="C1196" s="5">
        <v>41489</v>
      </c>
      <c r="D1196" s="5">
        <v>41549</v>
      </c>
      <c r="E1196" s="4" t="s">
        <v>5185</v>
      </c>
      <c r="F1196" s="4" t="s">
        <v>5185</v>
      </c>
    </row>
    <row r="1197" spans="1:6" x14ac:dyDescent="0.25">
      <c r="A1197" s="4" t="str">
        <f>CONCATENATE("3071-0000-9513","")</f>
        <v>3071-0000-9513</v>
      </c>
      <c r="B1197" s="4" t="s">
        <v>8272</v>
      </c>
      <c r="C1197" s="5">
        <v>41489</v>
      </c>
      <c r="D1197" s="5">
        <v>41549</v>
      </c>
      <c r="E1197" s="4" t="s">
        <v>1410</v>
      </c>
      <c r="F1197" s="4" t="s">
        <v>7967</v>
      </c>
    </row>
    <row r="1198" spans="1:6" x14ac:dyDescent="0.25">
      <c r="A1198" s="4" t="str">
        <f>CONCATENATE("3071-0000-4117","")</f>
        <v>3071-0000-4117</v>
      </c>
      <c r="B1198" s="4" t="s">
        <v>4185</v>
      </c>
      <c r="C1198" s="5">
        <v>41489</v>
      </c>
      <c r="D1198" s="5">
        <v>41549</v>
      </c>
      <c r="E1198" s="4" t="s">
        <v>7</v>
      </c>
      <c r="F1198" s="4" t="s">
        <v>1419</v>
      </c>
    </row>
    <row r="1199" spans="1:6" x14ac:dyDescent="0.25">
      <c r="A1199" s="4" t="str">
        <f>CONCATENATE("3071-0000-9291","")</f>
        <v>3071-0000-9291</v>
      </c>
      <c r="B1199" s="4" t="s">
        <v>8298</v>
      </c>
      <c r="C1199" s="5">
        <v>41489</v>
      </c>
      <c r="D1199" s="5">
        <v>41549</v>
      </c>
      <c r="E1199" s="4" t="s">
        <v>5185</v>
      </c>
      <c r="F1199" s="4" t="s">
        <v>5185</v>
      </c>
    </row>
    <row r="1200" spans="1:6" x14ac:dyDescent="0.25">
      <c r="A1200" s="4" t="str">
        <f>CONCATENATE("3071-0000-4767","")</f>
        <v>3071-0000-4767</v>
      </c>
      <c r="B1200" s="4" t="s">
        <v>9043</v>
      </c>
      <c r="C1200" s="5">
        <v>41489</v>
      </c>
      <c r="D1200" s="5">
        <v>41549</v>
      </c>
      <c r="E1200" s="4" t="s">
        <v>1410</v>
      </c>
      <c r="F1200" s="4" t="s">
        <v>8696</v>
      </c>
    </row>
    <row r="1201" spans="1:6" x14ac:dyDescent="0.25">
      <c r="A1201" s="4" t="str">
        <f>CONCATENATE("3071-0000-7027","")</f>
        <v>3071-0000-7027</v>
      </c>
      <c r="B1201" s="4" t="s">
        <v>4697</v>
      </c>
      <c r="C1201" s="5">
        <v>41489</v>
      </c>
      <c r="D1201" s="5">
        <v>41549</v>
      </c>
      <c r="E1201" s="4" t="s">
        <v>1410</v>
      </c>
      <c r="F1201" s="4" t="s">
        <v>1410</v>
      </c>
    </row>
    <row r="1202" spans="1:6" x14ac:dyDescent="0.25">
      <c r="A1202" s="4" t="str">
        <f>CONCATENATE("3071-0000-8911","")</f>
        <v>3071-0000-8911</v>
      </c>
      <c r="B1202" s="4" t="s">
        <v>5323</v>
      </c>
      <c r="C1202" s="5">
        <v>41489</v>
      </c>
      <c r="D1202" s="5">
        <v>41549</v>
      </c>
      <c r="E1202" s="4" t="s">
        <v>1410</v>
      </c>
      <c r="F1202" s="4" t="s">
        <v>4616</v>
      </c>
    </row>
    <row r="1203" spans="1:6" x14ac:dyDescent="0.25">
      <c r="A1203" s="4" t="str">
        <f>CONCATENATE("3071-0000-8379","")</f>
        <v>3071-0000-8379</v>
      </c>
      <c r="B1203" s="4" t="s">
        <v>5423</v>
      </c>
      <c r="C1203" s="5">
        <v>41489</v>
      </c>
      <c r="D1203" s="5">
        <v>41549</v>
      </c>
      <c r="E1203" s="4" t="s">
        <v>5185</v>
      </c>
      <c r="F1203" s="4" t="s">
        <v>5185</v>
      </c>
    </row>
    <row r="1204" spans="1:6" x14ac:dyDescent="0.25">
      <c r="A1204" s="4" t="str">
        <f>CONCATENATE("3071-0000-9528","")</f>
        <v>3071-0000-9528</v>
      </c>
      <c r="B1204" s="4" t="s">
        <v>8634</v>
      </c>
      <c r="C1204" s="5">
        <v>41489</v>
      </c>
      <c r="D1204" s="5">
        <v>41549</v>
      </c>
      <c r="E1204" s="4" t="s">
        <v>1410</v>
      </c>
      <c r="F1204" s="4" t="s">
        <v>4459</v>
      </c>
    </row>
    <row r="1205" spans="1:6" x14ac:dyDescent="0.25">
      <c r="A1205" s="4" t="str">
        <f>CONCATENATE("3071-0000-9534","")</f>
        <v>3071-0000-9534</v>
      </c>
      <c r="B1205" s="4" t="s">
        <v>8637</v>
      </c>
      <c r="C1205" s="5">
        <v>41489</v>
      </c>
      <c r="D1205" s="5">
        <v>41549</v>
      </c>
      <c r="E1205" s="4" t="s">
        <v>1410</v>
      </c>
      <c r="F1205" s="4" t="s">
        <v>4459</v>
      </c>
    </row>
    <row r="1206" spans="1:6" x14ac:dyDescent="0.25">
      <c r="A1206" s="4" t="str">
        <f>CONCATENATE("3071-0000-7235","")</f>
        <v>3071-0000-7235</v>
      </c>
      <c r="B1206" s="4" t="s">
        <v>4926</v>
      </c>
      <c r="C1206" s="5">
        <v>41489</v>
      </c>
      <c r="D1206" s="5">
        <v>41549</v>
      </c>
      <c r="E1206" s="4" t="s">
        <v>1410</v>
      </c>
      <c r="F1206" s="4" t="s">
        <v>1410</v>
      </c>
    </row>
    <row r="1207" spans="1:6" x14ac:dyDescent="0.25">
      <c r="A1207" s="4" t="str">
        <f>CONCATENATE("3071-0000-9557","")</f>
        <v>3071-0000-9557</v>
      </c>
      <c r="B1207" s="4" t="s">
        <v>8635</v>
      </c>
      <c r="C1207" s="5">
        <v>41489</v>
      </c>
      <c r="D1207" s="5">
        <v>41549</v>
      </c>
      <c r="E1207" s="4" t="s">
        <v>1410</v>
      </c>
      <c r="F1207" s="4" t="s">
        <v>4459</v>
      </c>
    </row>
    <row r="1208" spans="1:6" x14ac:dyDescent="0.25">
      <c r="A1208" s="4" t="str">
        <f>CONCATENATE("3071-0000-6502","")</f>
        <v>3071-0000-6502</v>
      </c>
      <c r="B1208" s="4" t="s">
        <v>7922</v>
      </c>
      <c r="C1208" s="5">
        <v>41489</v>
      </c>
      <c r="D1208" s="5">
        <v>41549</v>
      </c>
      <c r="E1208" s="4" t="s">
        <v>5185</v>
      </c>
      <c r="F1208" s="4" t="s">
        <v>5185</v>
      </c>
    </row>
    <row r="1209" spans="1:6" x14ac:dyDescent="0.25">
      <c r="A1209" s="4" t="str">
        <f>CONCATENATE("3071-0000-9117","")</f>
        <v>3071-0000-9117</v>
      </c>
      <c r="B1209" s="4" t="s">
        <v>5460</v>
      </c>
      <c r="C1209" s="5">
        <v>41489</v>
      </c>
      <c r="D1209" s="5">
        <v>41549</v>
      </c>
      <c r="E1209" s="4" t="s">
        <v>1410</v>
      </c>
      <c r="F1209" s="4" t="s">
        <v>4616</v>
      </c>
    </row>
    <row r="1210" spans="1:6" x14ac:dyDescent="0.25">
      <c r="A1210" s="4" t="str">
        <f>CONCATENATE("3071-0000-3668","")</f>
        <v>3071-0000-3668</v>
      </c>
      <c r="B1210" s="4" t="s">
        <v>1679</v>
      </c>
      <c r="C1210" s="5">
        <v>41489</v>
      </c>
      <c r="D1210" s="5">
        <v>41549</v>
      </c>
      <c r="E1210" s="4" t="s">
        <v>1410</v>
      </c>
      <c r="F1210" s="4" t="s">
        <v>1601</v>
      </c>
    </row>
    <row r="1211" spans="1:6" x14ac:dyDescent="0.25">
      <c r="A1211" s="4" t="str">
        <f>CONCATENATE("3071-0000-7203","")</f>
        <v>3071-0000-7203</v>
      </c>
      <c r="B1211" s="4" t="s">
        <v>5093</v>
      </c>
      <c r="C1211" s="5">
        <v>41489</v>
      </c>
      <c r="D1211" s="5">
        <v>41549</v>
      </c>
      <c r="E1211" s="4" t="s">
        <v>1410</v>
      </c>
      <c r="F1211" s="4" t="s">
        <v>1410</v>
      </c>
    </row>
    <row r="1212" spans="1:6" x14ac:dyDescent="0.25">
      <c r="A1212" s="4" t="str">
        <f>CONCATENATE("3071-0000-8372","")</f>
        <v>3071-0000-8372</v>
      </c>
      <c r="B1212" s="4" t="s">
        <v>5428</v>
      </c>
      <c r="C1212" s="5">
        <v>41489</v>
      </c>
      <c r="D1212" s="5">
        <v>41549</v>
      </c>
      <c r="E1212" s="4" t="s">
        <v>5185</v>
      </c>
      <c r="F1212" s="4" t="s">
        <v>5185</v>
      </c>
    </row>
    <row r="1213" spans="1:6" x14ac:dyDescent="0.25">
      <c r="A1213" s="4" t="str">
        <f>CONCATENATE("3071-0000-9629","")</f>
        <v>3071-0000-9629</v>
      </c>
      <c r="B1213" s="4" t="s">
        <v>8654</v>
      </c>
      <c r="C1213" s="5">
        <v>41489</v>
      </c>
      <c r="D1213" s="5">
        <v>41549</v>
      </c>
      <c r="E1213" s="4" t="s">
        <v>1410</v>
      </c>
      <c r="F1213" s="4" t="s">
        <v>4459</v>
      </c>
    </row>
    <row r="1214" spans="1:6" x14ac:dyDescent="0.25">
      <c r="A1214" s="4" t="str">
        <f>CONCATENATE("3071-0000-9195","")</f>
        <v>3071-0000-9195</v>
      </c>
      <c r="B1214" s="4" t="s">
        <v>6125</v>
      </c>
      <c r="C1214" s="5">
        <v>41489</v>
      </c>
      <c r="D1214" s="5">
        <v>41549</v>
      </c>
      <c r="E1214" s="4" t="s">
        <v>5185</v>
      </c>
      <c r="F1214" s="4" t="s">
        <v>5945</v>
      </c>
    </row>
    <row r="1215" spans="1:6" x14ac:dyDescent="0.25">
      <c r="A1215" s="4" t="str">
        <f>CONCATENATE("3071-0000-8373","")</f>
        <v>3071-0000-8373</v>
      </c>
      <c r="B1215" s="4" t="s">
        <v>5430</v>
      </c>
      <c r="C1215" s="5">
        <v>41489</v>
      </c>
      <c r="D1215" s="5">
        <v>41549</v>
      </c>
      <c r="E1215" s="4" t="s">
        <v>5185</v>
      </c>
      <c r="F1215" s="4" t="s">
        <v>5185</v>
      </c>
    </row>
    <row r="1216" spans="1:6" x14ac:dyDescent="0.25">
      <c r="A1216" s="4" t="str">
        <f>CONCATENATE("3071-0000-9551","")</f>
        <v>3071-0000-9551</v>
      </c>
      <c r="B1216" s="4" t="s">
        <v>8665</v>
      </c>
      <c r="C1216" s="5">
        <v>41489</v>
      </c>
      <c r="D1216" s="5">
        <v>41549</v>
      </c>
      <c r="E1216" s="4" t="s">
        <v>1410</v>
      </c>
      <c r="F1216" s="4" t="s">
        <v>4459</v>
      </c>
    </row>
    <row r="1217" spans="1:6" x14ac:dyDescent="0.25">
      <c r="A1217" s="4" t="str">
        <f>CONCATENATE("3071-0000-9531","")</f>
        <v>3071-0000-9531</v>
      </c>
      <c r="B1217" s="4" t="s">
        <v>8636</v>
      </c>
      <c r="C1217" s="5">
        <v>41489</v>
      </c>
      <c r="D1217" s="5">
        <v>41549</v>
      </c>
      <c r="E1217" s="4" t="s">
        <v>1410</v>
      </c>
      <c r="F1217" s="4" t="s">
        <v>4459</v>
      </c>
    </row>
    <row r="1218" spans="1:6" x14ac:dyDescent="0.25">
      <c r="A1218" s="4" t="str">
        <f>CONCATENATE("3071-0000-9554","")</f>
        <v>3071-0000-9554</v>
      </c>
      <c r="B1218" s="4" t="s">
        <v>8643</v>
      </c>
      <c r="C1218" s="5">
        <v>41489</v>
      </c>
      <c r="D1218" s="5">
        <v>41549</v>
      </c>
      <c r="E1218" s="4" t="s">
        <v>1410</v>
      </c>
      <c r="F1218" s="4" t="s">
        <v>4459</v>
      </c>
    </row>
    <row r="1219" spans="1:6" x14ac:dyDescent="0.25">
      <c r="A1219" s="4" t="str">
        <f>CONCATENATE("3071-0000-9543","")</f>
        <v>3071-0000-9543</v>
      </c>
      <c r="B1219" s="4" t="s">
        <v>8660</v>
      </c>
      <c r="C1219" s="5">
        <v>41489</v>
      </c>
      <c r="D1219" s="5">
        <v>41549</v>
      </c>
      <c r="E1219" s="4" t="s">
        <v>1410</v>
      </c>
      <c r="F1219" s="4" t="s">
        <v>4459</v>
      </c>
    </row>
    <row r="1220" spans="1:6" x14ac:dyDescent="0.25">
      <c r="A1220" s="4" t="str">
        <f>CONCATENATE("3071-0000-9546","")</f>
        <v>3071-0000-9546</v>
      </c>
      <c r="B1220" s="4" t="s">
        <v>8663</v>
      </c>
      <c r="C1220" s="5">
        <v>41489</v>
      </c>
      <c r="D1220" s="5">
        <v>41549</v>
      </c>
      <c r="E1220" s="4" t="s">
        <v>1410</v>
      </c>
      <c r="F1220" s="4" t="s">
        <v>4459</v>
      </c>
    </row>
    <row r="1221" spans="1:6" x14ac:dyDescent="0.25">
      <c r="A1221" s="4" t="str">
        <f>CONCATENATE("3071-0000-7150","")</f>
        <v>3071-0000-7150</v>
      </c>
      <c r="B1221" s="4" t="s">
        <v>4942</v>
      </c>
      <c r="C1221" s="5">
        <v>41489</v>
      </c>
      <c r="D1221" s="5">
        <v>41549</v>
      </c>
      <c r="E1221" s="4" t="s">
        <v>1410</v>
      </c>
      <c r="F1221" s="4" t="s">
        <v>4616</v>
      </c>
    </row>
    <row r="1222" spans="1:6" x14ac:dyDescent="0.25">
      <c r="A1222" s="4" t="str">
        <f>CONCATENATE("3071-0000-5612","")</f>
        <v>3071-0000-5612</v>
      </c>
      <c r="B1222" s="4" t="s">
        <v>7173</v>
      </c>
      <c r="C1222" s="5">
        <v>41489</v>
      </c>
      <c r="D1222" s="5">
        <v>41549</v>
      </c>
      <c r="E1222" s="4" t="s">
        <v>5185</v>
      </c>
      <c r="F1222" s="4" t="s">
        <v>5185</v>
      </c>
    </row>
    <row r="1223" spans="1:6" x14ac:dyDescent="0.25">
      <c r="A1223" s="4" t="str">
        <f>CONCATENATE("3071-0000-7133","")</f>
        <v>3071-0000-7133</v>
      </c>
      <c r="B1223" s="4" t="s">
        <v>4966</v>
      </c>
      <c r="C1223" s="5">
        <v>41489</v>
      </c>
      <c r="D1223" s="5">
        <v>41549</v>
      </c>
      <c r="E1223" s="4" t="s">
        <v>1410</v>
      </c>
      <c r="F1223" s="4" t="s">
        <v>1410</v>
      </c>
    </row>
    <row r="1224" spans="1:6" x14ac:dyDescent="0.25">
      <c r="A1224" s="4" t="str">
        <f>CONCATENATE("3071-0000-6768","")</f>
        <v>3071-0000-6768</v>
      </c>
      <c r="B1224" s="4" t="s">
        <v>8265</v>
      </c>
      <c r="C1224" s="5">
        <v>41489</v>
      </c>
      <c r="D1224" s="5">
        <v>41549</v>
      </c>
      <c r="E1224" s="4" t="s">
        <v>1410</v>
      </c>
      <c r="F1224" s="4" t="s">
        <v>8192</v>
      </c>
    </row>
    <row r="1225" spans="1:6" x14ac:dyDescent="0.25">
      <c r="A1225" s="4" t="str">
        <f>CONCATENATE("3071-0000-6874","")</f>
        <v>3071-0000-6874</v>
      </c>
      <c r="B1225" s="4" t="s">
        <v>5059</v>
      </c>
      <c r="C1225" s="5">
        <v>41489</v>
      </c>
      <c r="D1225" s="5">
        <v>41549</v>
      </c>
      <c r="E1225" s="4" t="s">
        <v>1410</v>
      </c>
      <c r="F1225" s="4" t="s">
        <v>4616</v>
      </c>
    </row>
    <row r="1226" spans="1:6" x14ac:dyDescent="0.25">
      <c r="A1226" s="4" t="str">
        <f>CONCATENATE("3071-0000-7173","")</f>
        <v>3071-0000-7173</v>
      </c>
      <c r="B1226" s="4" t="s">
        <v>5065</v>
      </c>
      <c r="C1226" s="5">
        <v>41489</v>
      </c>
      <c r="D1226" s="5">
        <v>41549</v>
      </c>
      <c r="E1226" s="4" t="s">
        <v>1410</v>
      </c>
      <c r="F1226" s="4" t="s">
        <v>4616</v>
      </c>
    </row>
    <row r="1227" spans="1:6" x14ac:dyDescent="0.25">
      <c r="A1227" s="4" t="str">
        <f>CONCATENATE("3071-0000-6025","")</f>
        <v>3071-0000-6025</v>
      </c>
      <c r="B1227" s="4" t="s">
        <v>7189</v>
      </c>
      <c r="C1227" s="5">
        <v>41489</v>
      </c>
      <c r="D1227" s="5">
        <v>41549</v>
      </c>
      <c r="E1227" s="4" t="s">
        <v>7069</v>
      </c>
      <c r="F1227" s="4" t="s">
        <v>7183</v>
      </c>
    </row>
    <row r="1228" spans="1:6" x14ac:dyDescent="0.25">
      <c r="A1228" s="4" t="str">
        <f>CONCATENATE("3071-0000-9542","")</f>
        <v>3071-0000-9542</v>
      </c>
      <c r="B1228" s="4" t="s">
        <v>8661</v>
      </c>
      <c r="C1228" s="5">
        <v>41489</v>
      </c>
      <c r="D1228" s="5">
        <v>41549</v>
      </c>
      <c r="E1228" s="4" t="s">
        <v>1410</v>
      </c>
      <c r="F1228" s="4" t="s">
        <v>4459</v>
      </c>
    </row>
    <row r="1229" spans="1:6" x14ac:dyDescent="0.25">
      <c r="A1229" s="4" t="str">
        <f>CONCATENATE("3071-0000-7273","")</f>
        <v>3071-0000-7273</v>
      </c>
      <c r="B1229" s="4" t="s">
        <v>5124</v>
      </c>
      <c r="C1229" s="5">
        <v>41489</v>
      </c>
      <c r="D1229" s="5">
        <v>41549</v>
      </c>
      <c r="E1229" s="4" t="s">
        <v>1410</v>
      </c>
      <c r="F1229" s="4" t="s">
        <v>1410</v>
      </c>
    </row>
    <row r="1230" spans="1:6" x14ac:dyDescent="0.25">
      <c r="A1230" s="4" t="str">
        <f>CONCATENATE("3071-0000-6907","")</f>
        <v>3071-0000-6907</v>
      </c>
      <c r="B1230" s="4" t="s">
        <v>4282</v>
      </c>
      <c r="C1230" s="5">
        <v>41489</v>
      </c>
      <c r="D1230" s="5">
        <v>41549</v>
      </c>
      <c r="E1230" s="4" t="s">
        <v>1410</v>
      </c>
      <c r="F1230" s="4" t="s">
        <v>1410</v>
      </c>
    </row>
    <row r="1231" spans="1:6" x14ac:dyDescent="0.25">
      <c r="A1231" s="4" t="str">
        <f>CONCATENATE("3071-0000-5763","")</f>
        <v>3071-0000-5763</v>
      </c>
      <c r="B1231" s="4" t="s">
        <v>7132</v>
      </c>
      <c r="C1231" s="5">
        <v>41489</v>
      </c>
      <c r="D1231" s="5">
        <v>41549</v>
      </c>
      <c r="E1231" s="4" t="s">
        <v>5185</v>
      </c>
      <c r="F1231" s="4" t="s">
        <v>5185</v>
      </c>
    </row>
    <row r="1232" spans="1:6" x14ac:dyDescent="0.25">
      <c r="A1232" s="4" t="str">
        <f>CONCATENATE("3071-0000-7086","")</f>
        <v>3071-0000-7086</v>
      </c>
      <c r="B1232" s="4" t="s">
        <v>4857</v>
      </c>
      <c r="C1232" s="5">
        <v>41489</v>
      </c>
      <c r="D1232" s="5">
        <v>41549</v>
      </c>
      <c r="E1232" s="4" t="s">
        <v>1410</v>
      </c>
      <c r="F1232" s="4" t="s">
        <v>1410</v>
      </c>
    </row>
    <row r="1233" spans="1:6" x14ac:dyDescent="0.25">
      <c r="A1233" s="4" t="str">
        <f>CONCATENATE("3071-0000-8178","")</f>
        <v>3071-0000-8178</v>
      </c>
      <c r="B1233" s="4" t="s">
        <v>6314</v>
      </c>
      <c r="C1233" s="5">
        <v>41489</v>
      </c>
      <c r="D1233" s="5">
        <v>41549</v>
      </c>
      <c r="E1233" s="4" t="s">
        <v>5185</v>
      </c>
      <c r="F1233" s="4" t="s">
        <v>5185</v>
      </c>
    </row>
    <row r="1234" spans="1:6" x14ac:dyDescent="0.25">
      <c r="A1234" s="4" t="str">
        <f>CONCATENATE("3071-0000-2797","")</f>
        <v>3071-0000-2797</v>
      </c>
      <c r="B1234" s="4" t="s">
        <v>996</v>
      </c>
      <c r="C1234" s="5">
        <v>41489</v>
      </c>
      <c r="D1234" s="5">
        <v>41549</v>
      </c>
      <c r="E1234" s="4" t="s">
        <v>7</v>
      </c>
      <c r="F1234" s="4" t="s">
        <v>808</v>
      </c>
    </row>
    <row r="1235" spans="1:6" x14ac:dyDescent="0.25">
      <c r="A1235" s="4" t="str">
        <f>CONCATENATE("3071-0000-0803","")</f>
        <v>3071-0000-0803</v>
      </c>
      <c r="B1235" s="4" t="s">
        <v>1922</v>
      </c>
      <c r="C1235" s="5">
        <v>41489</v>
      </c>
      <c r="D1235" s="5">
        <v>41549</v>
      </c>
      <c r="E1235" s="4" t="s">
        <v>1857</v>
      </c>
      <c r="F1235" s="4" t="s">
        <v>1857</v>
      </c>
    </row>
    <row r="1236" spans="1:6" x14ac:dyDescent="0.25">
      <c r="A1236" s="4" t="str">
        <f>CONCATENATE("3071-0000-1208","")</f>
        <v>3071-0000-1208</v>
      </c>
      <c r="B1236" s="4" t="s">
        <v>1870</v>
      </c>
      <c r="C1236" s="5">
        <v>41489</v>
      </c>
      <c r="D1236" s="5">
        <v>41549</v>
      </c>
      <c r="E1236" s="4" t="s">
        <v>1857</v>
      </c>
      <c r="F1236" s="4" t="s">
        <v>1857</v>
      </c>
    </row>
    <row r="1237" spans="1:6" x14ac:dyDescent="0.25">
      <c r="A1237" s="4" t="str">
        <f>CONCATENATE("3071-0000-0978","")</f>
        <v>3071-0000-0978</v>
      </c>
      <c r="B1237" s="4" t="s">
        <v>2184</v>
      </c>
      <c r="C1237" s="5">
        <v>41489</v>
      </c>
      <c r="D1237" s="5">
        <v>41549</v>
      </c>
      <c r="E1237" s="4" t="s">
        <v>1857</v>
      </c>
      <c r="F1237" s="4" t="s">
        <v>1857</v>
      </c>
    </row>
    <row r="1238" spans="1:6" x14ac:dyDescent="0.25">
      <c r="A1238" s="4" t="str">
        <f>CONCATENATE("3071-0000-1189","")</f>
        <v>3071-0000-1189</v>
      </c>
      <c r="B1238" s="4" t="s">
        <v>1953</v>
      </c>
      <c r="C1238" s="5">
        <v>41489</v>
      </c>
      <c r="D1238" s="5">
        <v>41549</v>
      </c>
      <c r="E1238" s="4" t="s">
        <v>1857</v>
      </c>
      <c r="F1238" s="4" t="s">
        <v>1857</v>
      </c>
    </row>
    <row r="1239" spans="1:6" x14ac:dyDescent="0.25">
      <c r="A1239" s="4" t="str">
        <f>CONCATENATE("3071-0000-0861","")</f>
        <v>3071-0000-0861</v>
      </c>
      <c r="B1239" s="4" t="s">
        <v>1990</v>
      </c>
      <c r="C1239" s="5">
        <v>41489</v>
      </c>
      <c r="D1239" s="5">
        <v>41549</v>
      </c>
      <c r="E1239" s="4" t="s">
        <v>1857</v>
      </c>
      <c r="F1239" s="4" t="s">
        <v>1857</v>
      </c>
    </row>
    <row r="1240" spans="1:6" x14ac:dyDescent="0.25">
      <c r="A1240" s="4" t="str">
        <f>CONCATENATE("3071-0000-0883","")</f>
        <v>3071-0000-0883</v>
      </c>
      <c r="B1240" s="4" t="s">
        <v>2019</v>
      </c>
      <c r="C1240" s="5">
        <v>41489</v>
      </c>
      <c r="D1240" s="5">
        <v>41549</v>
      </c>
      <c r="E1240" s="4" t="s">
        <v>1857</v>
      </c>
      <c r="F1240" s="4" t="s">
        <v>1857</v>
      </c>
    </row>
    <row r="1241" spans="1:6" x14ac:dyDescent="0.25">
      <c r="A1241" s="4" t="str">
        <f>CONCATENATE("3071-0000-1199","")</f>
        <v>3071-0000-1199</v>
      </c>
      <c r="B1241" s="4" t="s">
        <v>2033</v>
      </c>
      <c r="C1241" s="5">
        <v>41489</v>
      </c>
      <c r="D1241" s="5">
        <v>41549</v>
      </c>
      <c r="E1241" s="4" t="s">
        <v>1857</v>
      </c>
      <c r="F1241" s="4" t="s">
        <v>1857</v>
      </c>
    </row>
    <row r="1242" spans="1:6" x14ac:dyDescent="0.25">
      <c r="A1242" s="4" t="str">
        <f>CONCATENATE("3071-0000-0859","")</f>
        <v>3071-0000-0859</v>
      </c>
      <c r="B1242" s="4" t="s">
        <v>1992</v>
      </c>
      <c r="C1242" s="5">
        <v>41489</v>
      </c>
      <c r="D1242" s="5">
        <v>41549</v>
      </c>
      <c r="E1242" s="4" t="s">
        <v>1857</v>
      </c>
      <c r="F1242" s="4" t="s">
        <v>1857</v>
      </c>
    </row>
    <row r="1243" spans="1:6" x14ac:dyDescent="0.25">
      <c r="A1243" s="4" t="str">
        <f>CONCATENATE("3071-0000-0954","")</f>
        <v>3071-0000-0954</v>
      </c>
      <c r="B1243" s="4" t="s">
        <v>2044</v>
      </c>
      <c r="C1243" s="5">
        <v>41489</v>
      </c>
      <c r="D1243" s="5">
        <v>41549</v>
      </c>
      <c r="E1243" s="4" t="s">
        <v>1857</v>
      </c>
      <c r="F1243" s="4" t="s">
        <v>1857</v>
      </c>
    </row>
    <row r="1244" spans="1:6" x14ac:dyDescent="0.25">
      <c r="A1244" s="4" t="str">
        <f>CONCATENATE("3071-0000-1021","")</f>
        <v>3071-0000-1021</v>
      </c>
      <c r="B1244" s="4" t="s">
        <v>1931</v>
      </c>
      <c r="C1244" s="5">
        <v>41489</v>
      </c>
      <c r="D1244" s="5">
        <v>41549</v>
      </c>
      <c r="E1244" s="4" t="s">
        <v>1857</v>
      </c>
      <c r="F1244" s="4" t="s">
        <v>1857</v>
      </c>
    </row>
    <row r="1245" spans="1:6" x14ac:dyDescent="0.25">
      <c r="A1245" s="4" t="str">
        <f>CONCATENATE("3071-0000-1571","")</f>
        <v>3071-0000-1571</v>
      </c>
      <c r="B1245" s="4" t="s">
        <v>2871</v>
      </c>
      <c r="C1245" s="5">
        <v>41489</v>
      </c>
      <c r="D1245" s="5">
        <v>41549</v>
      </c>
      <c r="E1245" s="4" t="s">
        <v>1381</v>
      </c>
      <c r="F1245" s="4" t="s">
        <v>2303</v>
      </c>
    </row>
    <row r="1246" spans="1:6" x14ac:dyDescent="0.25">
      <c r="A1246" s="4" t="str">
        <f>CONCATENATE("3071-0000-1586","")</f>
        <v>3071-0000-1586</v>
      </c>
      <c r="B1246" s="4" t="s">
        <v>2876</v>
      </c>
      <c r="C1246" s="5">
        <v>41489</v>
      </c>
      <c r="D1246" s="5">
        <v>41549</v>
      </c>
      <c r="E1246" s="4" t="s">
        <v>1381</v>
      </c>
      <c r="F1246" s="4" t="s">
        <v>2303</v>
      </c>
    </row>
    <row r="1247" spans="1:6" x14ac:dyDescent="0.25">
      <c r="A1247" s="4" t="str">
        <f>CONCATENATE("3071-0000-0854","")</f>
        <v>3071-0000-0854</v>
      </c>
      <c r="B1247" s="4" t="s">
        <v>1934</v>
      </c>
      <c r="C1247" s="5">
        <v>41489</v>
      </c>
      <c r="D1247" s="5">
        <v>41549</v>
      </c>
      <c r="E1247" s="4" t="s">
        <v>1857</v>
      </c>
      <c r="F1247" s="4" t="s">
        <v>1857</v>
      </c>
    </row>
    <row r="1248" spans="1:6" x14ac:dyDescent="0.25">
      <c r="A1248" s="4" t="str">
        <f>CONCATENATE("3071-0000-0996","")</f>
        <v>3071-0000-0996</v>
      </c>
      <c r="B1248" s="4" t="s">
        <v>1943</v>
      </c>
      <c r="C1248" s="5">
        <v>41489</v>
      </c>
      <c r="D1248" s="5">
        <v>41549</v>
      </c>
      <c r="E1248" s="4" t="s">
        <v>1857</v>
      </c>
      <c r="F1248" s="4" t="s">
        <v>1857</v>
      </c>
    </row>
    <row r="1249" spans="1:6" x14ac:dyDescent="0.25">
      <c r="A1249" s="4" t="str">
        <f>CONCATENATE("3071-0000-0845","")</f>
        <v>3071-0000-0845</v>
      </c>
      <c r="B1249" s="4" t="s">
        <v>1921</v>
      </c>
      <c r="C1249" s="5">
        <v>41489</v>
      </c>
      <c r="D1249" s="5">
        <v>41549</v>
      </c>
      <c r="E1249" s="4" t="s">
        <v>1857</v>
      </c>
      <c r="F1249" s="4" t="s">
        <v>1857</v>
      </c>
    </row>
    <row r="1250" spans="1:6" x14ac:dyDescent="0.25">
      <c r="A1250" s="4" t="str">
        <f>CONCATENATE("3071-0000-0644","")</f>
        <v>3071-0000-0644</v>
      </c>
      <c r="B1250" s="4" t="s">
        <v>567</v>
      </c>
      <c r="C1250" s="5">
        <v>41489</v>
      </c>
      <c r="D1250" s="5">
        <v>41549</v>
      </c>
      <c r="E1250" s="4" t="s">
        <v>7</v>
      </c>
      <c r="F1250" s="4" t="s">
        <v>273</v>
      </c>
    </row>
    <row r="1251" spans="1:6" x14ac:dyDescent="0.25">
      <c r="A1251" s="4" t="str">
        <f>CONCATENATE("3071-0000-0299","")</f>
        <v>3071-0000-0299</v>
      </c>
      <c r="B1251" s="4" t="s">
        <v>307</v>
      </c>
      <c r="C1251" s="5">
        <v>41489</v>
      </c>
      <c r="D1251" s="5">
        <v>41549</v>
      </c>
      <c r="E1251" s="4" t="s">
        <v>7</v>
      </c>
      <c r="F1251" s="4" t="s">
        <v>7</v>
      </c>
    </row>
    <row r="1252" spans="1:6" x14ac:dyDescent="0.25">
      <c r="A1252" s="4" t="str">
        <f>CONCATENATE("3071-0000-6286","")</f>
        <v>3071-0000-6286</v>
      </c>
      <c r="B1252" s="4" t="s">
        <v>7097</v>
      </c>
      <c r="C1252" s="5">
        <v>41489</v>
      </c>
      <c r="D1252" s="5">
        <v>41549</v>
      </c>
      <c r="E1252" s="4" t="s">
        <v>7069</v>
      </c>
      <c r="F1252" s="4" t="s">
        <v>7070</v>
      </c>
    </row>
    <row r="1253" spans="1:6" x14ac:dyDescent="0.25">
      <c r="A1253" s="4" t="str">
        <f>CONCATENATE("3071-0000-5125","")</f>
        <v>3071-0000-5125</v>
      </c>
      <c r="B1253" s="4" t="s">
        <v>9201</v>
      </c>
      <c r="C1253" s="5">
        <v>41489</v>
      </c>
      <c r="D1253" s="5">
        <v>41549</v>
      </c>
      <c r="E1253" s="4" t="s">
        <v>7069</v>
      </c>
      <c r="F1253" s="4" t="s">
        <v>7070</v>
      </c>
    </row>
    <row r="1254" spans="1:6" x14ac:dyDescent="0.25">
      <c r="A1254" s="4" t="str">
        <f>CONCATENATE("3071-0000-4680","")</f>
        <v>3071-0000-4680</v>
      </c>
      <c r="B1254" s="4" t="s">
        <v>9209</v>
      </c>
      <c r="C1254" s="5">
        <v>41489</v>
      </c>
      <c r="D1254" s="5">
        <v>41549</v>
      </c>
      <c r="E1254" s="4" t="s">
        <v>1410</v>
      </c>
      <c r="F1254" s="4" t="s">
        <v>8696</v>
      </c>
    </row>
    <row r="1255" spans="1:6" x14ac:dyDescent="0.25">
      <c r="A1255" s="4" t="str">
        <f>CONCATENATE("3071-0000-4660","")</f>
        <v>3071-0000-4660</v>
      </c>
      <c r="B1255" s="4" t="s">
        <v>9094</v>
      </c>
      <c r="C1255" s="5">
        <v>41489</v>
      </c>
      <c r="D1255" s="5">
        <v>41549</v>
      </c>
      <c r="E1255" s="4" t="s">
        <v>1410</v>
      </c>
      <c r="F1255" s="4" t="s">
        <v>8696</v>
      </c>
    </row>
    <row r="1256" spans="1:6" x14ac:dyDescent="0.25">
      <c r="A1256" s="4" t="str">
        <f>CONCATENATE("3071-0000-5123","")</f>
        <v>3071-0000-5123</v>
      </c>
      <c r="B1256" s="4" t="s">
        <v>9643</v>
      </c>
      <c r="C1256" s="5">
        <v>41489</v>
      </c>
      <c r="D1256" s="5">
        <v>41549</v>
      </c>
      <c r="E1256" s="4" t="s">
        <v>7069</v>
      </c>
      <c r="F1256" s="4" t="s">
        <v>7070</v>
      </c>
    </row>
    <row r="1257" spans="1:6" x14ac:dyDescent="0.25">
      <c r="A1257" s="4" t="str">
        <f>CONCATENATE("3071-0000-5040","")</f>
        <v>3071-0000-5040</v>
      </c>
      <c r="B1257" s="4" t="s">
        <v>9207</v>
      </c>
      <c r="C1257" s="5">
        <v>41489</v>
      </c>
      <c r="D1257" s="5">
        <v>41549</v>
      </c>
      <c r="E1257" s="4" t="s">
        <v>7069</v>
      </c>
      <c r="F1257" s="4" t="s">
        <v>7070</v>
      </c>
    </row>
    <row r="1258" spans="1:6" x14ac:dyDescent="0.25">
      <c r="A1258" s="4" t="str">
        <f>CONCATENATE("3071-0000-4677","")</f>
        <v>3071-0000-4677</v>
      </c>
      <c r="B1258" s="4" t="s">
        <v>9190</v>
      </c>
      <c r="C1258" s="5">
        <v>41489</v>
      </c>
      <c r="D1258" s="5">
        <v>41549</v>
      </c>
      <c r="E1258" s="4" t="s">
        <v>1410</v>
      </c>
      <c r="F1258" s="4" t="s">
        <v>8696</v>
      </c>
    </row>
    <row r="1259" spans="1:6" x14ac:dyDescent="0.25">
      <c r="A1259" s="4" t="str">
        <f>CONCATENATE("3071-0000-4352","")</f>
        <v>3071-0000-4352</v>
      </c>
      <c r="B1259" s="4" t="s">
        <v>9052</v>
      </c>
      <c r="C1259" s="5">
        <v>41489</v>
      </c>
      <c r="D1259" s="5">
        <v>41549</v>
      </c>
      <c r="E1259" s="4" t="s">
        <v>7069</v>
      </c>
      <c r="F1259" s="4" t="s">
        <v>9051</v>
      </c>
    </row>
    <row r="1260" spans="1:6" x14ac:dyDescent="0.25">
      <c r="A1260" s="4" t="str">
        <f>CONCATENATE("3071-0000-4670","")</f>
        <v>3071-0000-4670</v>
      </c>
      <c r="B1260" s="4" t="s">
        <v>9181</v>
      </c>
      <c r="C1260" s="5">
        <v>41489</v>
      </c>
      <c r="D1260" s="5">
        <v>41549</v>
      </c>
      <c r="E1260" s="4" t="s">
        <v>1410</v>
      </c>
      <c r="F1260" s="4" t="s">
        <v>8696</v>
      </c>
    </row>
    <row r="1261" spans="1:6" x14ac:dyDescent="0.25">
      <c r="A1261" s="4" t="str">
        <f>CONCATENATE("3071-0000-4647","")</f>
        <v>3071-0000-4647</v>
      </c>
      <c r="B1261" s="4" t="s">
        <v>9150</v>
      </c>
      <c r="C1261" s="5">
        <v>41489</v>
      </c>
      <c r="D1261" s="5">
        <v>41549</v>
      </c>
      <c r="E1261" s="4" t="s">
        <v>1410</v>
      </c>
      <c r="F1261" s="4" t="s">
        <v>8696</v>
      </c>
    </row>
    <row r="1262" spans="1:6" x14ac:dyDescent="0.25">
      <c r="A1262" s="4" t="str">
        <f>CONCATENATE("3071-0000-4849","")</f>
        <v>3071-0000-4849</v>
      </c>
      <c r="B1262" s="4" t="s">
        <v>9308</v>
      </c>
      <c r="C1262" s="5">
        <v>41489</v>
      </c>
      <c r="D1262" s="5">
        <v>41549</v>
      </c>
      <c r="E1262" s="4" t="s">
        <v>1410</v>
      </c>
      <c r="F1262" s="4" t="s">
        <v>8696</v>
      </c>
    </row>
    <row r="1263" spans="1:6" x14ac:dyDescent="0.25">
      <c r="A1263" s="4" t="str">
        <f>CONCATENATE("3071-0000-4462","")</f>
        <v>3071-0000-4462</v>
      </c>
      <c r="B1263" s="4" t="s">
        <v>9346</v>
      </c>
      <c r="C1263" s="5">
        <v>41489</v>
      </c>
      <c r="D1263" s="5">
        <v>41549</v>
      </c>
      <c r="E1263" s="4" t="s">
        <v>1410</v>
      </c>
      <c r="F1263" s="4" t="s">
        <v>8696</v>
      </c>
    </row>
    <row r="1264" spans="1:6" x14ac:dyDescent="0.25">
      <c r="A1264" s="4" t="str">
        <f>CONCATENATE("3071-0000-4679","")</f>
        <v>3071-0000-4679</v>
      </c>
      <c r="B1264" s="4" t="s">
        <v>9193</v>
      </c>
      <c r="C1264" s="5">
        <v>41489</v>
      </c>
      <c r="D1264" s="5">
        <v>41549</v>
      </c>
      <c r="E1264" s="4" t="s">
        <v>1410</v>
      </c>
      <c r="F1264" s="4" t="s">
        <v>8696</v>
      </c>
    </row>
    <row r="1265" spans="1:6" x14ac:dyDescent="0.25">
      <c r="A1265" s="4" t="str">
        <f>CONCATENATE("3071-0000-4987","")</f>
        <v>3071-0000-4987</v>
      </c>
      <c r="B1265" s="4" t="s">
        <v>9263</v>
      </c>
      <c r="C1265" s="5">
        <v>41489</v>
      </c>
      <c r="D1265" s="5">
        <v>41549</v>
      </c>
      <c r="E1265" s="4" t="s">
        <v>7069</v>
      </c>
      <c r="F1265" s="4" t="s">
        <v>9210</v>
      </c>
    </row>
    <row r="1266" spans="1:6" x14ac:dyDescent="0.25">
      <c r="A1266" s="4" t="str">
        <f>CONCATENATE("3071-0000-4609","")</f>
        <v>3071-0000-4609</v>
      </c>
      <c r="B1266" s="4" t="s">
        <v>9137</v>
      </c>
      <c r="C1266" s="5">
        <v>41489</v>
      </c>
      <c r="D1266" s="5">
        <v>41549</v>
      </c>
      <c r="E1266" s="4" t="s">
        <v>1410</v>
      </c>
      <c r="F1266" s="4" t="s">
        <v>8696</v>
      </c>
    </row>
    <row r="1267" spans="1:6" x14ac:dyDescent="0.25">
      <c r="A1267" s="4" t="str">
        <f>CONCATENATE("3071-0000-4662","")</f>
        <v>3071-0000-4662</v>
      </c>
      <c r="B1267" s="4" t="s">
        <v>9170</v>
      </c>
      <c r="C1267" s="5">
        <v>41489</v>
      </c>
      <c r="D1267" s="5">
        <v>41549</v>
      </c>
      <c r="E1267" s="4" t="s">
        <v>1410</v>
      </c>
      <c r="F1267" s="4" t="s">
        <v>8696</v>
      </c>
    </row>
    <row r="1268" spans="1:6" x14ac:dyDescent="0.25">
      <c r="A1268" s="4" t="str">
        <f>CONCATENATE("3071-0000-5044","")</f>
        <v>3071-0000-5044</v>
      </c>
      <c r="B1268" s="4" t="s">
        <v>9168</v>
      </c>
      <c r="C1268" s="5">
        <v>41489</v>
      </c>
      <c r="D1268" s="5">
        <v>41549</v>
      </c>
      <c r="E1268" s="4" t="s">
        <v>7069</v>
      </c>
      <c r="F1268" s="4" t="s">
        <v>7070</v>
      </c>
    </row>
    <row r="1269" spans="1:6" x14ac:dyDescent="0.25">
      <c r="A1269" s="4" t="str">
        <f>CONCATENATE("3071-0000-4673","")</f>
        <v>3071-0000-4673</v>
      </c>
      <c r="B1269" s="4" t="s">
        <v>9184</v>
      </c>
      <c r="C1269" s="5">
        <v>41489</v>
      </c>
      <c r="D1269" s="5">
        <v>41549</v>
      </c>
      <c r="E1269" s="4" t="s">
        <v>1410</v>
      </c>
      <c r="F1269" s="4" t="s">
        <v>8696</v>
      </c>
    </row>
    <row r="1270" spans="1:6" x14ac:dyDescent="0.25">
      <c r="A1270" s="4" t="str">
        <f>CONCATENATE("3071-0000-4688","")</f>
        <v>3071-0000-4688</v>
      </c>
      <c r="B1270" s="4" t="s">
        <v>9205</v>
      </c>
      <c r="C1270" s="5">
        <v>41489</v>
      </c>
      <c r="D1270" s="5">
        <v>41549</v>
      </c>
      <c r="E1270" s="4" t="s">
        <v>1410</v>
      </c>
      <c r="F1270" s="4" t="s">
        <v>8696</v>
      </c>
    </row>
    <row r="1271" spans="1:6" x14ac:dyDescent="0.25">
      <c r="A1271" s="4" t="str">
        <f>CONCATENATE("3071-0000-6297","")</f>
        <v>3071-0000-6297</v>
      </c>
      <c r="B1271" s="4" t="s">
        <v>7095</v>
      </c>
      <c r="C1271" s="5">
        <v>41489</v>
      </c>
      <c r="D1271" s="5">
        <v>41549</v>
      </c>
      <c r="E1271" s="4" t="s">
        <v>7069</v>
      </c>
      <c r="F1271" s="4" t="s">
        <v>7070</v>
      </c>
    </row>
    <row r="1272" spans="1:6" x14ac:dyDescent="0.25">
      <c r="A1272" s="4" t="str">
        <f>CONCATENATE("3071-0000-5613","")</f>
        <v>3071-0000-5613</v>
      </c>
      <c r="B1272" s="4" t="s">
        <v>7153</v>
      </c>
      <c r="C1272" s="5">
        <v>41489</v>
      </c>
      <c r="D1272" s="5">
        <v>41549</v>
      </c>
      <c r="E1272" s="4" t="s">
        <v>5185</v>
      </c>
      <c r="F1272" s="4" t="s">
        <v>5185</v>
      </c>
    </row>
    <row r="1273" spans="1:6" x14ac:dyDescent="0.25">
      <c r="A1273" s="4" t="str">
        <f>CONCATENATE("3071-0000-5722","")</f>
        <v>3071-0000-5722</v>
      </c>
      <c r="B1273" s="4" t="s">
        <v>7159</v>
      </c>
      <c r="C1273" s="5">
        <v>41489</v>
      </c>
      <c r="D1273" s="5">
        <v>41549</v>
      </c>
      <c r="E1273" s="4" t="s">
        <v>5185</v>
      </c>
      <c r="F1273" s="4" t="s">
        <v>5185</v>
      </c>
    </row>
    <row r="1274" spans="1:6" x14ac:dyDescent="0.25">
      <c r="A1274" s="4" t="str">
        <f>CONCATENATE("3071-0000-8643","")</f>
        <v>3071-0000-8643</v>
      </c>
      <c r="B1274" s="4" t="s">
        <v>6441</v>
      </c>
      <c r="C1274" s="5">
        <v>41489</v>
      </c>
      <c r="D1274" s="5">
        <v>41549</v>
      </c>
      <c r="E1274" s="4" t="s">
        <v>5185</v>
      </c>
      <c r="F1274" s="4" t="s">
        <v>5292</v>
      </c>
    </row>
    <row r="1275" spans="1:6" x14ac:dyDescent="0.25">
      <c r="A1275" s="4" t="str">
        <f>CONCATENATE("3071-0000-5953","")</f>
        <v>3071-0000-5953</v>
      </c>
      <c r="B1275" s="4" t="s">
        <v>7268</v>
      </c>
      <c r="C1275" s="5">
        <v>41489</v>
      </c>
      <c r="D1275" s="5">
        <v>41549</v>
      </c>
      <c r="E1275" s="4" t="s">
        <v>5185</v>
      </c>
      <c r="F1275" s="4" t="s">
        <v>5185</v>
      </c>
    </row>
    <row r="1276" spans="1:6" x14ac:dyDescent="0.25">
      <c r="A1276" s="4" t="str">
        <f>CONCATENATE("3071-0000-5593","")</f>
        <v>3071-0000-5593</v>
      </c>
      <c r="B1276" s="4" t="s">
        <v>7057</v>
      </c>
      <c r="C1276" s="5">
        <v>41489</v>
      </c>
      <c r="D1276" s="5">
        <v>41549</v>
      </c>
      <c r="E1276" s="4" t="s">
        <v>5185</v>
      </c>
      <c r="F1276" s="4" t="s">
        <v>5185</v>
      </c>
    </row>
    <row r="1277" spans="1:6" x14ac:dyDescent="0.25">
      <c r="A1277" s="4" t="str">
        <f>CONCATENATE("3071-0000-5872","")</f>
        <v>3071-0000-5872</v>
      </c>
      <c r="B1277" s="4" t="s">
        <v>7283</v>
      </c>
      <c r="C1277" s="5">
        <v>41489</v>
      </c>
      <c r="D1277" s="5">
        <v>41549</v>
      </c>
      <c r="E1277" s="4" t="s">
        <v>5185</v>
      </c>
      <c r="F1277" s="4" t="s">
        <v>5185</v>
      </c>
    </row>
    <row r="1278" spans="1:6" x14ac:dyDescent="0.25">
      <c r="A1278" s="4" t="str">
        <f>CONCATENATE("3071-0000-6142","")</f>
        <v>3071-0000-6142</v>
      </c>
      <c r="B1278" s="4" t="s">
        <v>7129</v>
      </c>
      <c r="C1278" s="5">
        <v>41489</v>
      </c>
      <c r="D1278" s="5">
        <v>41549</v>
      </c>
      <c r="E1278" s="4" t="s">
        <v>7069</v>
      </c>
      <c r="F1278" s="4" t="s">
        <v>7120</v>
      </c>
    </row>
    <row r="1279" spans="1:6" x14ac:dyDescent="0.25">
      <c r="A1279" s="4" t="str">
        <f>CONCATENATE("3071-0000-6282","")</f>
        <v>3071-0000-6282</v>
      </c>
      <c r="B1279" s="4" t="s">
        <v>7100</v>
      </c>
      <c r="C1279" s="5">
        <v>41489</v>
      </c>
      <c r="D1279" s="5">
        <v>41549</v>
      </c>
      <c r="E1279" s="4" t="s">
        <v>7069</v>
      </c>
      <c r="F1279" s="4" t="s">
        <v>7070</v>
      </c>
    </row>
    <row r="1280" spans="1:6" x14ac:dyDescent="0.25">
      <c r="A1280" s="4" t="str">
        <f>CONCATENATE("3071-0000-5069","")</f>
        <v>3071-0000-5069</v>
      </c>
      <c r="B1280" s="4" t="s">
        <v>9250</v>
      </c>
      <c r="C1280" s="5">
        <v>41489</v>
      </c>
      <c r="D1280" s="5">
        <v>41549</v>
      </c>
      <c r="E1280" s="4" t="s">
        <v>7069</v>
      </c>
      <c r="F1280" s="4" t="s">
        <v>9210</v>
      </c>
    </row>
    <row r="1281" spans="1:6" x14ac:dyDescent="0.25">
      <c r="A1281" s="4" t="str">
        <f>CONCATENATE("3071-0000-5772","")</f>
        <v>3071-0000-5772</v>
      </c>
      <c r="B1281" s="4" t="s">
        <v>7003</v>
      </c>
      <c r="C1281" s="5">
        <v>41489</v>
      </c>
      <c r="D1281" s="5">
        <v>41549</v>
      </c>
      <c r="E1281" s="4" t="s">
        <v>5185</v>
      </c>
      <c r="F1281" s="4" t="s">
        <v>5185</v>
      </c>
    </row>
    <row r="1282" spans="1:6" x14ac:dyDescent="0.25">
      <c r="A1282" s="4" t="str">
        <f>CONCATENATE("3071-0000-7193","")</f>
        <v>3071-0000-7193</v>
      </c>
      <c r="B1282" s="4" t="s">
        <v>4989</v>
      </c>
      <c r="C1282" s="5">
        <v>41489</v>
      </c>
      <c r="D1282" s="5">
        <v>41549</v>
      </c>
      <c r="E1282" s="4" t="s">
        <v>1410</v>
      </c>
      <c r="F1282" s="4" t="s">
        <v>1410</v>
      </c>
    </row>
    <row r="1283" spans="1:6" x14ac:dyDescent="0.25">
      <c r="A1283" s="4" t="str">
        <f>CONCATENATE("3071-0000-6205","")</f>
        <v>3071-0000-6205</v>
      </c>
      <c r="B1283" s="4" t="s">
        <v>7211</v>
      </c>
      <c r="C1283" s="5">
        <v>41489</v>
      </c>
      <c r="D1283" s="5">
        <v>41549</v>
      </c>
      <c r="E1283" s="4" t="s">
        <v>7069</v>
      </c>
      <c r="F1283" s="4" t="s">
        <v>7183</v>
      </c>
    </row>
    <row r="1284" spans="1:6" x14ac:dyDescent="0.25">
      <c r="A1284" s="4" t="str">
        <f>CONCATENATE("3071-0000-5662","")</f>
        <v>3071-0000-5662</v>
      </c>
      <c r="B1284" s="4" t="s">
        <v>7142</v>
      </c>
      <c r="C1284" s="5">
        <v>41489</v>
      </c>
      <c r="D1284" s="5">
        <v>41549</v>
      </c>
      <c r="E1284" s="4" t="s">
        <v>5185</v>
      </c>
      <c r="F1284" s="4" t="s">
        <v>5185</v>
      </c>
    </row>
    <row r="1285" spans="1:6" x14ac:dyDescent="0.25">
      <c r="A1285" s="4" t="str">
        <f>CONCATENATE("3071-0000-5601","")</f>
        <v>3071-0000-5601</v>
      </c>
      <c r="B1285" s="4" t="s">
        <v>7138</v>
      </c>
      <c r="C1285" s="5">
        <v>41489</v>
      </c>
      <c r="D1285" s="5">
        <v>41549</v>
      </c>
      <c r="E1285" s="4" t="s">
        <v>5185</v>
      </c>
      <c r="F1285" s="4" t="s">
        <v>5185</v>
      </c>
    </row>
    <row r="1286" spans="1:6" x14ac:dyDescent="0.25">
      <c r="A1286" s="4" t="str">
        <f>CONCATENATE("3071-0000-5652","")</f>
        <v>3071-0000-5652</v>
      </c>
      <c r="B1286" s="4" t="s">
        <v>7278</v>
      </c>
      <c r="C1286" s="5">
        <v>41489</v>
      </c>
      <c r="D1286" s="5">
        <v>41549</v>
      </c>
      <c r="E1286" s="4" t="s">
        <v>5185</v>
      </c>
      <c r="F1286" s="4" t="s">
        <v>5185</v>
      </c>
    </row>
    <row r="1287" spans="1:6" x14ac:dyDescent="0.25">
      <c r="A1287" s="4" t="str">
        <f>CONCATENATE("3071-0000-5807","")</f>
        <v>3071-0000-5807</v>
      </c>
      <c r="B1287" s="4" t="s">
        <v>7022</v>
      </c>
      <c r="C1287" s="5">
        <v>41489</v>
      </c>
      <c r="D1287" s="5">
        <v>41549</v>
      </c>
      <c r="E1287" s="4" t="s">
        <v>5185</v>
      </c>
      <c r="F1287" s="4" t="s">
        <v>5185</v>
      </c>
    </row>
    <row r="1288" spans="1:6" x14ac:dyDescent="0.25">
      <c r="A1288" s="4" t="str">
        <f>CONCATENATE("3071-0000-6473","")</f>
        <v>3071-0000-6473</v>
      </c>
      <c r="B1288" s="4" t="s">
        <v>8110</v>
      </c>
      <c r="C1288" s="5">
        <v>41489</v>
      </c>
      <c r="D1288" s="5">
        <v>41549</v>
      </c>
      <c r="E1288" s="4" t="s">
        <v>5185</v>
      </c>
      <c r="F1288" s="4" t="s">
        <v>5185</v>
      </c>
    </row>
    <row r="1289" spans="1:6" x14ac:dyDescent="0.25">
      <c r="A1289" s="4" t="str">
        <f>CONCATENATE("3071-0000-0429","")</f>
        <v>3071-0000-0429</v>
      </c>
      <c r="B1289" s="4" t="s">
        <v>595</v>
      </c>
      <c r="C1289" s="5">
        <v>41489</v>
      </c>
      <c r="D1289" s="5">
        <v>41549</v>
      </c>
      <c r="E1289" s="4" t="s">
        <v>7</v>
      </c>
      <c r="F1289" s="4" t="s">
        <v>7</v>
      </c>
    </row>
    <row r="1290" spans="1:6" x14ac:dyDescent="0.25">
      <c r="A1290" s="4" t="str">
        <f>CONCATENATE("3071-0000-2403","")</f>
        <v>3071-0000-2403</v>
      </c>
      <c r="B1290" s="4" t="s">
        <v>3134</v>
      </c>
      <c r="C1290" s="5">
        <v>41489</v>
      </c>
      <c r="D1290" s="5">
        <v>41549</v>
      </c>
      <c r="E1290" s="4" t="s">
        <v>2944</v>
      </c>
      <c r="F1290" s="4" t="s">
        <v>3115</v>
      </c>
    </row>
    <row r="1291" spans="1:6" x14ac:dyDescent="0.25">
      <c r="A1291" s="4" t="str">
        <f>CONCATENATE("3071-0000-2691","")</f>
        <v>3071-0000-2691</v>
      </c>
      <c r="B1291" s="4" t="s">
        <v>3052</v>
      </c>
      <c r="C1291" s="5">
        <v>41489</v>
      </c>
      <c r="D1291" s="5">
        <v>41549</v>
      </c>
      <c r="E1291" s="4" t="s">
        <v>2944</v>
      </c>
      <c r="F1291" s="4" t="s">
        <v>2945</v>
      </c>
    </row>
    <row r="1292" spans="1:6" x14ac:dyDescent="0.25">
      <c r="A1292" s="4" t="str">
        <f>CONCATENATE("3071-0000-1277","")</f>
        <v>3071-0000-1277</v>
      </c>
      <c r="B1292" s="4" t="s">
        <v>2382</v>
      </c>
      <c r="C1292" s="5">
        <v>41489</v>
      </c>
      <c r="D1292" s="5">
        <v>41549</v>
      </c>
      <c r="E1292" s="4" t="s">
        <v>1381</v>
      </c>
      <c r="F1292" s="4" t="s">
        <v>2303</v>
      </c>
    </row>
    <row r="1293" spans="1:6" x14ac:dyDescent="0.25">
      <c r="A1293" s="4" t="str">
        <f>CONCATENATE("3071-0000-2424","")</f>
        <v>3071-0000-2424</v>
      </c>
      <c r="B1293" s="4" t="s">
        <v>3748</v>
      </c>
      <c r="C1293" s="5">
        <v>41489</v>
      </c>
      <c r="D1293" s="5">
        <v>41549</v>
      </c>
      <c r="E1293" s="4" t="s">
        <v>2944</v>
      </c>
      <c r="F1293" s="4" t="s">
        <v>3593</v>
      </c>
    </row>
    <row r="1294" spans="1:6" x14ac:dyDescent="0.25">
      <c r="A1294" s="4" t="str">
        <f>CONCATENATE("3071-0000-3305","")</f>
        <v>3071-0000-3305</v>
      </c>
      <c r="B1294" s="4" t="s">
        <v>1141</v>
      </c>
      <c r="C1294" s="5">
        <v>41489</v>
      </c>
      <c r="D1294" s="5">
        <v>41549</v>
      </c>
      <c r="E1294" s="4" t="s">
        <v>7</v>
      </c>
      <c r="F1294" s="4" t="s">
        <v>808</v>
      </c>
    </row>
    <row r="1295" spans="1:6" x14ac:dyDescent="0.25">
      <c r="A1295" s="4" t="str">
        <f>CONCATENATE("3071-0000-2617","")</f>
        <v>3071-0000-2617</v>
      </c>
      <c r="B1295" s="4" t="s">
        <v>3133</v>
      </c>
      <c r="C1295" s="5">
        <v>41489</v>
      </c>
      <c r="D1295" s="5">
        <v>41549</v>
      </c>
      <c r="E1295" s="4" t="s">
        <v>2944</v>
      </c>
      <c r="F1295" s="4" t="s">
        <v>3115</v>
      </c>
    </row>
    <row r="1296" spans="1:6" x14ac:dyDescent="0.25">
      <c r="A1296" s="4" t="str">
        <f>CONCATENATE("3071-0000-5466","")</f>
        <v>3071-0000-5466</v>
      </c>
      <c r="B1296" s="4" t="s">
        <v>6900</v>
      </c>
      <c r="C1296" s="5">
        <v>41489</v>
      </c>
      <c r="D1296" s="5">
        <v>41549</v>
      </c>
      <c r="E1296" s="4" t="s">
        <v>5185</v>
      </c>
      <c r="F1296" s="4" t="s">
        <v>5185</v>
      </c>
    </row>
    <row r="1297" spans="1:6" x14ac:dyDescent="0.25">
      <c r="A1297" s="4" t="str">
        <f>CONCATENATE("3071-0000-8425","")</f>
        <v>3071-0000-8425</v>
      </c>
      <c r="B1297" s="4" t="s">
        <v>5196</v>
      </c>
      <c r="C1297" s="5">
        <v>41489</v>
      </c>
      <c r="D1297" s="5">
        <v>41549</v>
      </c>
      <c r="E1297" s="4" t="s">
        <v>5185</v>
      </c>
      <c r="F1297" s="4" t="s">
        <v>5185</v>
      </c>
    </row>
    <row r="1298" spans="1:6" x14ac:dyDescent="0.25">
      <c r="A1298" s="4" t="str">
        <f>CONCATENATE("3071-0000-9517","")</f>
        <v>3071-0000-9517</v>
      </c>
      <c r="B1298" s="4" t="s">
        <v>8274</v>
      </c>
      <c r="C1298" s="5">
        <v>41489</v>
      </c>
      <c r="D1298" s="5">
        <v>41549</v>
      </c>
      <c r="E1298" s="4" t="s">
        <v>1410</v>
      </c>
      <c r="F1298" s="4" t="s">
        <v>7967</v>
      </c>
    </row>
    <row r="1299" spans="1:6" x14ac:dyDescent="0.25">
      <c r="A1299" s="4" t="str">
        <f>CONCATENATE("3071-0000-2214","")</f>
        <v>3071-0000-2214</v>
      </c>
      <c r="B1299" s="4" t="s">
        <v>3022</v>
      </c>
      <c r="C1299" s="5">
        <v>41489</v>
      </c>
      <c r="D1299" s="5">
        <v>41549</v>
      </c>
      <c r="E1299" s="4" t="s">
        <v>2944</v>
      </c>
      <c r="F1299" s="4" t="s">
        <v>2945</v>
      </c>
    </row>
    <row r="1300" spans="1:6" x14ac:dyDescent="0.25">
      <c r="A1300" s="4" t="str">
        <f>CONCATENATE("3071-0000-1320","")</f>
        <v>3071-0000-1320</v>
      </c>
      <c r="B1300" s="4" t="s">
        <v>2443</v>
      </c>
      <c r="C1300" s="5">
        <v>41489</v>
      </c>
      <c r="D1300" s="5">
        <v>41549</v>
      </c>
      <c r="E1300" s="4" t="s">
        <v>1381</v>
      </c>
      <c r="F1300" s="4" t="s">
        <v>2303</v>
      </c>
    </row>
    <row r="1301" spans="1:6" x14ac:dyDescent="0.25">
      <c r="A1301" s="4" t="str">
        <f>CONCATENATE("3071-0000-8906","")</f>
        <v>3071-0000-8906</v>
      </c>
      <c r="B1301" s="4" t="s">
        <v>6300</v>
      </c>
      <c r="C1301" s="5">
        <v>41489</v>
      </c>
      <c r="D1301" s="5">
        <v>41549</v>
      </c>
      <c r="E1301" s="4" t="s">
        <v>5185</v>
      </c>
      <c r="F1301" s="4" t="s">
        <v>6181</v>
      </c>
    </row>
    <row r="1302" spans="1:6" x14ac:dyDescent="0.25">
      <c r="A1302" s="4" t="str">
        <f>CONCATENATE("3071-0000-1985","")</f>
        <v>3071-0000-1985</v>
      </c>
      <c r="B1302" s="4" t="s">
        <v>3125</v>
      </c>
      <c r="C1302" s="5">
        <v>41489</v>
      </c>
      <c r="D1302" s="5">
        <v>41549</v>
      </c>
      <c r="E1302" s="4" t="s">
        <v>2944</v>
      </c>
      <c r="F1302" s="4" t="s">
        <v>2945</v>
      </c>
    </row>
    <row r="1303" spans="1:6" x14ac:dyDescent="0.25">
      <c r="A1303" s="4" t="str">
        <f>CONCATENATE("3071-0000-7728","")</f>
        <v>3071-0000-7728</v>
      </c>
      <c r="B1303" s="4" t="s">
        <v>4992</v>
      </c>
      <c r="C1303" s="5">
        <v>41489</v>
      </c>
      <c r="D1303" s="5">
        <v>41549</v>
      </c>
      <c r="E1303" s="4" t="s">
        <v>1410</v>
      </c>
      <c r="F1303" s="4" t="s">
        <v>4616</v>
      </c>
    </row>
    <row r="1304" spans="1:6" x14ac:dyDescent="0.25">
      <c r="A1304" s="4" t="str">
        <f>CONCATENATE("3071-0000-7231","")</f>
        <v>3071-0000-7231</v>
      </c>
      <c r="B1304" s="4" t="s">
        <v>4918</v>
      </c>
      <c r="C1304" s="5">
        <v>41489</v>
      </c>
      <c r="D1304" s="5">
        <v>41549</v>
      </c>
      <c r="E1304" s="4" t="s">
        <v>1410</v>
      </c>
      <c r="F1304" s="4" t="s">
        <v>1410</v>
      </c>
    </row>
    <row r="1305" spans="1:6" x14ac:dyDescent="0.25">
      <c r="A1305" s="4" t="str">
        <f>CONCATENATE("3071-0000-3067","")</f>
        <v>3071-0000-3067</v>
      </c>
      <c r="B1305" s="4" t="s">
        <v>896</v>
      </c>
      <c r="C1305" s="5">
        <v>41489</v>
      </c>
      <c r="D1305" s="5">
        <v>41549</v>
      </c>
      <c r="E1305" s="4" t="s">
        <v>7</v>
      </c>
      <c r="F1305" s="4" t="s">
        <v>808</v>
      </c>
    </row>
    <row r="1306" spans="1:6" x14ac:dyDescent="0.25">
      <c r="A1306" s="4" t="str">
        <f>CONCATENATE("3071-0000-0269","")</f>
        <v>3071-0000-0269</v>
      </c>
      <c r="B1306" s="4" t="s">
        <v>656</v>
      </c>
      <c r="C1306" s="5">
        <v>41489</v>
      </c>
      <c r="D1306" s="5">
        <v>41549</v>
      </c>
      <c r="E1306" s="4" t="s">
        <v>7</v>
      </c>
      <c r="F1306" s="4" t="s">
        <v>7</v>
      </c>
    </row>
    <row r="1307" spans="1:6" x14ac:dyDescent="0.25">
      <c r="A1307" s="4" t="str">
        <f>CONCATENATE("3071-0000-9497","")</f>
        <v>3071-0000-9497</v>
      </c>
      <c r="B1307" s="4" t="s">
        <v>8556</v>
      </c>
      <c r="C1307" s="5">
        <v>41489</v>
      </c>
      <c r="D1307" s="5">
        <v>41549</v>
      </c>
      <c r="E1307" s="4" t="s">
        <v>1410</v>
      </c>
      <c r="F1307" s="4" t="s">
        <v>4459</v>
      </c>
    </row>
    <row r="1308" spans="1:6" x14ac:dyDescent="0.25">
      <c r="A1308" s="4" t="str">
        <f>CONCATENATE("3071-0000-0710","")</f>
        <v>3071-0000-0710</v>
      </c>
      <c r="B1308" s="4" t="s">
        <v>254</v>
      </c>
      <c r="C1308" s="5">
        <v>41489</v>
      </c>
      <c r="D1308" s="5">
        <v>41549</v>
      </c>
      <c r="E1308" s="4" t="s">
        <v>7</v>
      </c>
      <c r="F1308" s="4" t="s">
        <v>7</v>
      </c>
    </row>
    <row r="1309" spans="1:6" x14ac:dyDescent="0.25">
      <c r="A1309" s="4" t="str">
        <f>CONCATENATE("3071-0000-5401","")</f>
        <v>3071-0000-5401</v>
      </c>
      <c r="B1309" s="4" t="s">
        <v>6631</v>
      </c>
      <c r="C1309" s="5">
        <v>41489</v>
      </c>
      <c r="D1309" s="5">
        <v>41549</v>
      </c>
      <c r="E1309" s="4" t="s">
        <v>5185</v>
      </c>
      <c r="F1309" s="4" t="s">
        <v>5185</v>
      </c>
    </row>
    <row r="1310" spans="1:6" x14ac:dyDescent="0.25">
      <c r="A1310" s="4" t="str">
        <f>CONCATENATE("3071-0000-0083","")</f>
        <v>3071-0000-0083</v>
      </c>
      <c r="B1310" s="4" t="s">
        <v>152</v>
      </c>
      <c r="C1310" s="5">
        <v>41489</v>
      </c>
      <c r="D1310" s="5">
        <v>41549</v>
      </c>
      <c r="E1310" s="4" t="s">
        <v>7</v>
      </c>
      <c r="F1310" s="4" t="s">
        <v>7</v>
      </c>
    </row>
    <row r="1311" spans="1:6" x14ac:dyDescent="0.25">
      <c r="A1311" s="4" t="str">
        <f>CONCATENATE("3071-0000-5335","")</f>
        <v>3071-0000-5335</v>
      </c>
      <c r="B1311" s="4" t="s">
        <v>6817</v>
      </c>
      <c r="C1311" s="5">
        <v>41489</v>
      </c>
      <c r="D1311" s="5">
        <v>41549</v>
      </c>
      <c r="E1311" s="4" t="s">
        <v>5185</v>
      </c>
      <c r="F1311" s="4" t="s">
        <v>5185</v>
      </c>
    </row>
    <row r="1312" spans="1:6" x14ac:dyDescent="0.25">
      <c r="A1312" s="4" t="str">
        <f>CONCATENATE("3071-0000-7978","")</f>
        <v>3071-0000-7978</v>
      </c>
      <c r="B1312" s="4" t="s">
        <v>5358</v>
      </c>
      <c r="C1312" s="5">
        <v>41489</v>
      </c>
      <c r="D1312" s="5">
        <v>41549</v>
      </c>
      <c r="E1312" s="4" t="s">
        <v>5185</v>
      </c>
      <c r="F1312" s="4" t="s">
        <v>5185</v>
      </c>
    </row>
    <row r="1313" spans="1:6" x14ac:dyDescent="0.25">
      <c r="A1313" s="4" t="str">
        <f>CONCATENATE("3071-0000-3631","")</f>
        <v>3071-0000-3631</v>
      </c>
      <c r="B1313" s="4" t="s">
        <v>1638</v>
      </c>
      <c r="C1313" s="5">
        <v>41489</v>
      </c>
      <c r="D1313" s="5">
        <v>41549</v>
      </c>
      <c r="E1313" s="4" t="s">
        <v>1410</v>
      </c>
      <c r="F1313" s="4" t="s">
        <v>1410</v>
      </c>
    </row>
    <row r="1314" spans="1:6" x14ac:dyDescent="0.25">
      <c r="A1314" s="4" t="str">
        <f>CONCATENATE("3071-0000-9315","")</f>
        <v>3071-0000-9315</v>
      </c>
      <c r="B1314" s="4" t="s">
        <v>8596</v>
      </c>
      <c r="C1314" s="5">
        <v>41489</v>
      </c>
      <c r="D1314" s="5">
        <v>41549</v>
      </c>
      <c r="E1314" s="4" t="s">
        <v>5185</v>
      </c>
      <c r="F1314" s="4" t="s">
        <v>5185</v>
      </c>
    </row>
    <row r="1315" spans="1:6" x14ac:dyDescent="0.25">
      <c r="A1315" s="4" t="str">
        <f>CONCATENATE("3071-0000-9383","")</f>
        <v>3071-0000-9383</v>
      </c>
      <c r="B1315" s="4" t="s">
        <v>8681</v>
      </c>
      <c r="C1315" s="5">
        <v>41489</v>
      </c>
      <c r="D1315" s="5">
        <v>41549</v>
      </c>
      <c r="E1315" s="4" t="s">
        <v>1410</v>
      </c>
      <c r="F1315" s="4" t="s">
        <v>4459</v>
      </c>
    </row>
    <row r="1316" spans="1:6" x14ac:dyDescent="0.25">
      <c r="A1316" s="4" t="str">
        <f>CONCATENATE("3071-0000-2872","")</f>
        <v>3071-0000-2872</v>
      </c>
      <c r="B1316" s="4" t="s">
        <v>1394</v>
      </c>
      <c r="C1316" s="5">
        <v>41489</v>
      </c>
      <c r="D1316" s="5">
        <v>41549</v>
      </c>
      <c r="E1316" s="4" t="s">
        <v>7</v>
      </c>
      <c r="F1316" s="4" t="s">
        <v>808</v>
      </c>
    </row>
    <row r="1317" spans="1:6" x14ac:dyDescent="0.25">
      <c r="A1317" s="4" t="str">
        <f>CONCATENATE("3071-0000-7232","")</f>
        <v>3071-0000-7232</v>
      </c>
      <c r="B1317" s="4" t="s">
        <v>4919</v>
      </c>
      <c r="C1317" s="5">
        <v>41489</v>
      </c>
      <c r="D1317" s="5">
        <v>41549</v>
      </c>
      <c r="E1317" s="4" t="s">
        <v>1410</v>
      </c>
      <c r="F1317" s="4" t="s">
        <v>1410</v>
      </c>
    </row>
    <row r="1318" spans="1:6" x14ac:dyDescent="0.25">
      <c r="A1318" s="4" t="str">
        <f>CONCATENATE("3071-0000-4325","")</f>
        <v>3071-0000-4325</v>
      </c>
      <c r="B1318" s="4" t="s">
        <v>8868</v>
      </c>
      <c r="C1318" s="5">
        <v>41489</v>
      </c>
      <c r="D1318" s="5">
        <v>41549</v>
      </c>
      <c r="E1318" s="4" t="s">
        <v>1410</v>
      </c>
      <c r="F1318" s="4" t="s">
        <v>8696</v>
      </c>
    </row>
    <row r="1319" spans="1:6" x14ac:dyDescent="0.25">
      <c r="A1319" s="4" t="str">
        <f>CONCATENATE("3071-0000-2841","")</f>
        <v>3071-0000-2841</v>
      </c>
      <c r="B1319" s="4" t="s">
        <v>1109</v>
      </c>
      <c r="C1319" s="5">
        <v>41489</v>
      </c>
      <c r="D1319" s="5">
        <v>41549</v>
      </c>
      <c r="E1319" s="4" t="s">
        <v>7</v>
      </c>
      <c r="F1319" s="4" t="s">
        <v>808</v>
      </c>
    </row>
    <row r="1320" spans="1:6" x14ac:dyDescent="0.25">
      <c r="A1320" s="4" t="str">
        <f>CONCATENATE("3071-0000-5286","")</f>
        <v>3071-0000-5286</v>
      </c>
      <c r="B1320" s="4" t="s">
        <v>6759</v>
      </c>
      <c r="C1320" s="5">
        <v>41489</v>
      </c>
      <c r="D1320" s="5">
        <v>41549</v>
      </c>
      <c r="E1320" s="4" t="s">
        <v>5185</v>
      </c>
      <c r="F1320" s="4" t="s">
        <v>5185</v>
      </c>
    </row>
    <row r="1321" spans="1:6" x14ac:dyDescent="0.25">
      <c r="A1321" s="4" t="str">
        <f>CONCATENATE("3071-0000-5446","")</f>
        <v>3071-0000-5446</v>
      </c>
      <c r="B1321" s="4" t="s">
        <v>6657</v>
      </c>
      <c r="C1321" s="5">
        <v>41489</v>
      </c>
      <c r="D1321" s="5">
        <v>41549</v>
      </c>
      <c r="E1321" s="4" t="s">
        <v>5185</v>
      </c>
      <c r="F1321" s="4" t="s">
        <v>5185</v>
      </c>
    </row>
    <row r="1322" spans="1:6" x14ac:dyDescent="0.25">
      <c r="A1322" s="4" t="str">
        <f>CONCATENATE("3071-0000-8136","")</f>
        <v>3071-0000-8136</v>
      </c>
      <c r="B1322" s="4" t="s">
        <v>5238</v>
      </c>
      <c r="C1322" s="5">
        <v>41489</v>
      </c>
      <c r="D1322" s="5">
        <v>41549</v>
      </c>
      <c r="E1322" s="4" t="s">
        <v>5185</v>
      </c>
      <c r="F1322" s="4" t="s">
        <v>5185</v>
      </c>
    </row>
    <row r="1323" spans="1:6" x14ac:dyDescent="0.25">
      <c r="A1323" s="4" t="str">
        <f>CONCATENATE("3071-0000-0826","")</f>
        <v>3071-0000-0826</v>
      </c>
      <c r="B1323" s="4" t="s">
        <v>1886</v>
      </c>
      <c r="C1323" s="5">
        <v>41489</v>
      </c>
      <c r="D1323" s="5">
        <v>41549</v>
      </c>
      <c r="E1323" s="4" t="s">
        <v>1857</v>
      </c>
      <c r="F1323" s="4" t="s">
        <v>1857</v>
      </c>
    </row>
    <row r="1324" spans="1:6" x14ac:dyDescent="0.25">
      <c r="A1324" s="4" t="str">
        <f>CONCATENATE("3071-0000-5488","")</f>
        <v>3071-0000-5488</v>
      </c>
      <c r="B1324" s="4" t="s">
        <v>6644</v>
      </c>
      <c r="C1324" s="5">
        <v>41489</v>
      </c>
      <c r="D1324" s="5">
        <v>41549</v>
      </c>
      <c r="E1324" s="4" t="s">
        <v>1410</v>
      </c>
      <c r="F1324" s="4" t="s">
        <v>6635</v>
      </c>
    </row>
    <row r="1325" spans="1:6" x14ac:dyDescent="0.25">
      <c r="A1325" s="4" t="str">
        <f>CONCATENATE("3071-0000-5519","")</f>
        <v>3071-0000-5519</v>
      </c>
      <c r="B1325" s="4" t="s">
        <v>6732</v>
      </c>
      <c r="C1325" s="5">
        <v>41489</v>
      </c>
      <c r="D1325" s="5">
        <v>41549</v>
      </c>
      <c r="E1325" s="4" t="s">
        <v>1410</v>
      </c>
      <c r="F1325" s="4" t="s">
        <v>6635</v>
      </c>
    </row>
    <row r="1326" spans="1:6" x14ac:dyDescent="0.25">
      <c r="A1326" s="4" t="str">
        <f>CONCATENATE("3071-0000-8305","")</f>
        <v>3071-0000-8305</v>
      </c>
      <c r="B1326" s="4" t="s">
        <v>5208</v>
      </c>
      <c r="C1326" s="5">
        <v>41489</v>
      </c>
      <c r="D1326" s="5">
        <v>41549</v>
      </c>
      <c r="E1326" s="4" t="s">
        <v>5185</v>
      </c>
      <c r="F1326" s="4" t="s">
        <v>5185</v>
      </c>
    </row>
    <row r="1327" spans="1:6" x14ac:dyDescent="0.25">
      <c r="A1327" s="4" t="str">
        <f>CONCATENATE("3071-0000-2077","")</f>
        <v>3071-0000-2077</v>
      </c>
      <c r="B1327" s="4" t="s">
        <v>3460</v>
      </c>
      <c r="C1327" s="5">
        <v>41489</v>
      </c>
      <c r="D1327" s="5">
        <v>41549</v>
      </c>
      <c r="E1327" s="4" t="s">
        <v>2944</v>
      </c>
      <c r="F1327" s="4" t="s">
        <v>2945</v>
      </c>
    </row>
    <row r="1328" spans="1:6" x14ac:dyDescent="0.25">
      <c r="A1328" s="4" t="str">
        <f>CONCATENATE("3071-0000-9536","")</f>
        <v>3071-0000-9536</v>
      </c>
      <c r="B1328" s="4" t="s">
        <v>8641</v>
      </c>
      <c r="C1328" s="5">
        <v>41489</v>
      </c>
      <c r="D1328" s="5">
        <v>41549</v>
      </c>
      <c r="E1328" s="4" t="s">
        <v>1410</v>
      </c>
      <c r="F1328" s="4" t="s">
        <v>4459</v>
      </c>
    </row>
    <row r="1329" spans="1:6" x14ac:dyDescent="0.25">
      <c r="A1329" s="4" t="str">
        <f>CONCATENATE("3071-0000-9530","")</f>
        <v>3071-0000-9530</v>
      </c>
      <c r="B1329" s="4" t="s">
        <v>8640</v>
      </c>
      <c r="C1329" s="5">
        <v>41489</v>
      </c>
      <c r="D1329" s="5">
        <v>41549</v>
      </c>
      <c r="E1329" s="4" t="s">
        <v>1410</v>
      </c>
      <c r="F1329" s="4" t="s">
        <v>4459</v>
      </c>
    </row>
    <row r="1330" spans="1:6" x14ac:dyDescent="0.25">
      <c r="A1330" s="4" t="str">
        <f>CONCATENATE("3071-0000-8265","")</f>
        <v>3071-0000-8265</v>
      </c>
      <c r="B1330" s="4" t="s">
        <v>5842</v>
      </c>
      <c r="C1330" s="5">
        <v>41489</v>
      </c>
      <c r="D1330" s="5">
        <v>41549</v>
      </c>
      <c r="E1330" s="4" t="s">
        <v>5185</v>
      </c>
      <c r="F1330" s="4" t="s">
        <v>5185</v>
      </c>
    </row>
    <row r="1331" spans="1:6" x14ac:dyDescent="0.25">
      <c r="A1331" s="4" t="str">
        <f>CONCATENATE("3071-0000-8104","")</f>
        <v>3071-0000-8104</v>
      </c>
      <c r="B1331" s="4" t="s">
        <v>5992</v>
      </c>
      <c r="C1331" s="5">
        <v>41489</v>
      </c>
      <c r="D1331" s="5">
        <v>41549</v>
      </c>
      <c r="E1331" s="4" t="s">
        <v>5185</v>
      </c>
      <c r="F1331" s="4" t="s">
        <v>5185</v>
      </c>
    </row>
    <row r="1332" spans="1:6" x14ac:dyDescent="0.25">
      <c r="A1332" s="4" t="str">
        <f>CONCATENATE("3071-0000-7622","")</f>
        <v>3071-0000-7622</v>
      </c>
      <c r="B1332" s="4" t="s">
        <v>5146</v>
      </c>
      <c r="C1332" s="5">
        <v>41489</v>
      </c>
      <c r="D1332" s="5">
        <v>41549</v>
      </c>
      <c r="E1332" s="4" t="s">
        <v>1410</v>
      </c>
      <c r="F1332" s="4" t="s">
        <v>4616</v>
      </c>
    </row>
    <row r="1333" spans="1:6" x14ac:dyDescent="0.25">
      <c r="A1333" s="4" t="str">
        <f>CONCATENATE("3071-0000-9548","")</f>
        <v>3071-0000-9548</v>
      </c>
      <c r="B1333" s="4" t="s">
        <v>8651</v>
      </c>
      <c r="C1333" s="5">
        <v>41489</v>
      </c>
      <c r="D1333" s="5">
        <v>41549</v>
      </c>
      <c r="E1333" s="4" t="s">
        <v>1410</v>
      </c>
      <c r="F1333" s="4" t="s">
        <v>4459</v>
      </c>
    </row>
    <row r="1334" spans="1:6" x14ac:dyDescent="0.25">
      <c r="A1334" s="4" t="str">
        <f>CONCATENATE("3071-0000-9547","")</f>
        <v>3071-0000-9547</v>
      </c>
      <c r="B1334" s="4" t="s">
        <v>8650</v>
      </c>
      <c r="C1334" s="5">
        <v>41489</v>
      </c>
      <c r="D1334" s="5">
        <v>41549</v>
      </c>
      <c r="E1334" s="4" t="s">
        <v>1410</v>
      </c>
      <c r="F1334" s="4" t="s">
        <v>4459</v>
      </c>
    </row>
    <row r="1335" spans="1:6" x14ac:dyDescent="0.25">
      <c r="A1335" s="4" t="str">
        <f>CONCATENATE("3071-0000-3016","")</f>
        <v>3071-0000-3016</v>
      </c>
      <c r="B1335" s="4" t="s">
        <v>1134</v>
      </c>
      <c r="C1335" s="5">
        <v>41489</v>
      </c>
      <c r="D1335" s="5">
        <v>41549</v>
      </c>
      <c r="E1335" s="4" t="s">
        <v>7</v>
      </c>
      <c r="F1335" s="4" t="s">
        <v>808</v>
      </c>
    </row>
    <row r="1336" spans="1:6" x14ac:dyDescent="0.25">
      <c r="A1336" s="4" t="str">
        <f>CONCATENATE("3071-0000-3159","")</f>
        <v>3071-0000-3159</v>
      </c>
      <c r="B1336" s="4" t="s">
        <v>1329</v>
      </c>
      <c r="C1336" s="5">
        <v>41489</v>
      </c>
      <c r="D1336" s="5">
        <v>41549</v>
      </c>
      <c r="E1336" s="4" t="s">
        <v>7</v>
      </c>
      <c r="F1336" s="4" t="s">
        <v>808</v>
      </c>
    </row>
    <row r="1337" spans="1:6" x14ac:dyDescent="0.25">
      <c r="A1337" s="4" t="str">
        <f>CONCATENATE("3071-0000-8791","")</f>
        <v>3071-0000-8791</v>
      </c>
      <c r="B1337" s="4" t="s">
        <v>6369</v>
      </c>
      <c r="C1337" s="5">
        <v>41489</v>
      </c>
      <c r="D1337" s="5">
        <v>41549</v>
      </c>
      <c r="E1337" s="4" t="s">
        <v>5185</v>
      </c>
      <c r="F1337" s="4" t="s">
        <v>5292</v>
      </c>
    </row>
    <row r="1338" spans="1:6" x14ac:dyDescent="0.25">
      <c r="A1338" s="4" t="str">
        <f>CONCATENATE("3071-0000-3625","")</f>
        <v>3071-0000-3625</v>
      </c>
      <c r="B1338" s="4" t="s">
        <v>1644</v>
      </c>
      <c r="C1338" s="5">
        <v>41489</v>
      </c>
      <c r="D1338" s="5">
        <v>41549</v>
      </c>
      <c r="E1338" s="4" t="s">
        <v>1410</v>
      </c>
      <c r="F1338" s="4" t="s">
        <v>1410</v>
      </c>
    </row>
    <row r="1339" spans="1:6" x14ac:dyDescent="0.25">
      <c r="A1339" s="4" t="str">
        <f>CONCATENATE("3071-0000-7806","")</f>
        <v>3071-0000-7806</v>
      </c>
      <c r="B1339" s="4" t="s">
        <v>5478</v>
      </c>
      <c r="C1339" s="5">
        <v>41489</v>
      </c>
      <c r="D1339" s="5">
        <v>41549</v>
      </c>
      <c r="E1339" s="4" t="s">
        <v>5185</v>
      </c>
      <c r="F1339" s="4" t="s">
        <v>5185</v>
      </c>
    </row>
    <row r="1340" spans="1:6" x14ac:dyDescent="0.25">
      <c r="A1340" s="4" t="str">
        <f>CONCATENATE("3071-0000-2197","")</f>
        <v>3071-0000-2197</v>
      </c>
      <c r="B1340" s="4" t="s">
        <v>3699</v>
      </c>
      <c r="C1340" s="5">
        <v>41489</v>
      </c>
      <c r="D1340" s="5">
        <v>41549</v>
      </c>
      <c r="E1340" s="4" t="s">
        <v>2944</v>
      </c>
      <c r="F1340" s="4" t="s">
        <v>2945</v>
      </c>
    </row>
    <row r="1341" spans="1:6" x14ac:dyDescent="0.25">
      <c r="A1341" s="4" t="str">
        <f>CONCATENATE("3071-0000-0236","")</f>
        <v>3071-0000-0236</v>
      </c>
      <c r="B1341" s="4" t="s">
        <v>525</v>
      </c>
      <c r="C1341" s="5">
        <v>41489</v>
      </c>
      <c r="D1341" s="5">
        <v>41549</v>
      </c>
      <c r="E1341" s="4" t="s">
        <v>7</v>
      </c>
      <c r="F1341" s="4" t="s">
        <v>7</v>
      </c>
    </row>
    <row r="1342" spans="1:6" x14ac:dyDescent="0.25">
      <c r="A1342" s="4" t="str">
        <f>CONCATENATE("3071-0000-4262","")</f>
        <v>3071-0000-4262</v>
      </c>
      <c r="B1342" s="4" t="s">
        <v>8899</v>
      </c>
      <c r="C1342" s="5">
        <v>41489</v>
      </c>
      <c r="D1342" s="5">
        <v>41549</v>
      </c>
      <c r="E1342" s="4" t="s">
        <v>1410</v>
      </c>
      <c r="F1342" s="4" t="s">
        <v>8696</v>
      </c>
    </row>
    <row r="1343" spans="1:6" x14ac:dyDescent="0.25">
      <c r="A1343" s="4" t="str">
        <f>CONCATENATE("3071-0000-3350","")</f>
        <v>3071-0000-3350</v>
      </c>
      <c r="B1343" s="4" t="s">
        <v>1476</v>
      </c>
      <c r="C1343" s="5">
        <v>41489</v>
      </c>
      <c r="D1343" s="5">
        <v>41549</v>
      </c>
      <c r="E1343" s="4" t="s">
        <v>1410</v>
      </c>
      <c r="F1343" s="4" t="s">
        <v>1411</v>
      </c>
    </row>
    <row r="1344" spans="1:6" x14ac:dyDescent="0.25">
      <c r="A1344" s="4" t="str">
        <f>CONCATENATE("3071-0000-8228","")</f>
        <v>3071-0000-8228</v>
      </c>
      <c r="B1344" s="4" t="s">
        <v>5721</v>
      </c>
      <c r="C1344" s="5">
        <v>41489</v>
      </c>
      <c r="D1344" s="5">
        <v>41549</v>
      </c>
      <c r="E1344" s="4" t="s">
        <v>5185</v>
      </c>
      <c r="F1344" s="4" t="s">
        <v>5185</v>
      </c>
    </row>
    <row r="1345" spans="1:6" x14ac:dyDescent="0.25">
      <c r="A1345" s="4" t="str">
        <f>CONCATENATE("3071-0000-7438","")</f>
        <v>3071-0000-7438</v>
      </c>
      <c r="B1345" s="4" t="s">
        <v>5082</v>
      </c>
      <c r="C1345" s="5">
        <v>41489</v>
      </c>
      <c r="D1345" s="5">
        <v>41549</v>
      </c>
      <c r="E1345" s="4" t="s">
        <v>1410</v>
      </c>
      <c r="F1345" s="4" t="s">
        <v>4616</v>
      </c>
    </row>
    <row r="1346" spans="1:6" x14ac:dyDescent="0.25">
      <c r="A1346" s="4" t="str">
        <f>CONCATENATE("3071-0000-7562","")</f>
        <v>3071-0000-7562</v>
      </c>
      <c r="B1346" s="4" t="s">
        <v>5081</v>
      </c>
      <c r="C1346" s="5">
        <v>41489</v>
      </c>
      <c r="D1346" s="5">
        <v>41549</v>
      </c>
      <c r="E1346" s="4" t="s">
        <v>1410</v>
      </c>
      <c r="F1346" s="4" t="s">
        <v>4616</v>
      </c>
    </row>
    <row r="1347" spans="1:6" x14ac:dyDescent="0.25">
      <c r="A1347" s="4" t="str">
        <f>CONCATENATE("3071-0000-2890","")</f>
        <v>3071-0000-2890</v>
      </c>
      <c r="B1347" s="4" t="s">
        <v>1020</v>
      </c>
      <c r="C1347" s="5">
        <v>41489</v>
      </c>
      <c r="D1347" s="5">
        <v>41549</v>
      </c>
      <c r="E1347" s="4" t="s">
        <v>7</v>
      </c>
      <c r="F1347" s="4" t="s">
        <v>808</v>
      </c>
    </row>
    <row r="1348" spans="1:6" x14ac:dyDescent="0.25">
      <c r="A1348" s="4" t="str">
        <f>CONCATENATE("3071-0000-8116","")</f>
        <v>3071-0000-8116</v>
      </c>
      <c r="B1348" s="4" t="s">
        <v>5997</v>
      </c>
      <c r="C1348" s="5">
        <v>41489</v>
      </c>
      <c r="D1348" s="5">
        <v>41549</v>
      </c>
      <c r="E1348" s="4" t="s">
        <v>5185</v>
      </c>
      <c r="F1348" s="4" t="s">
        <v>5185</v>
      </c>
    </row>
    <row r="1349" spans="1:6" x14ac:dyDescent="0.25">
      <c r="A1349" s="4" t="str">
        <f>CONCATENATE("3071-0000-4061","")</f>
        <v>3071-0000-4061</v>
      </c>
      <c r="B1349" s="4" t="s">
        <v>3970</v>
      </c>
      <c r="C1349" s="5">
        <v>41489</v>
      </c>
      <c r="D1349" s="5">
        <v>41549</v>
      </c>
      <c r="E1349" s="4" t="s">
        <v>7</v>
      </c>
      <c r="F1349" s="4" t="s">
        <v>1419</v>
      </c>
    </row>
    <row r="1350" spans="1:6" x14ac:dyDescent="0.25">
      <c r="A1350" s="4" t="str">
        <f>CONCATENATE("3071-0000-4768","")</f>
        <v>3071-0000-4768</v>
      </c>
      <c r="B1350" s="4" t="s">
        <v>9039</v>
      </c>
      <c r="C1350" s="5">
        <v>41489</v>
      </c>
      <c r="D1350" s="5">
        <v>41549</v>
      </c>
      <c r="E1350" s="4" t="s">
        <v>1410</v>
      </c>
      <c r="F1350" s="4" t="s">
        <v>8696</v>
      </c>
    </row>
    <row r="1351" spans="1:6" x14ac:dyDescent="0.25">
      <c r="A1351" s="4" t="str">
        <f>CONCATENATE("3071-0000-0925","")</f>
        <v>3071-0000-0925</v>
      </c>
      <c r="B1351" s="4" t="s">
        <v>2122</v>
      </c>
      <c r="C1351" s="5">
        <v>41489</v>
      </c>
      <c r="D1351" s="5">
        <v>41549</v>
      </c>
      <c r="E1351" s="4" t="s">
        <v>1857</v>
      </c>
      <c r="F1351" s="4" t="s">
        <v>1857</v>
      </c>
    </row>
    <row r="1352" spans="1:6" x14ac:dyDescent="0.25">
      <c r="A1352" s="4" t="str">
        <f>CONCATENATE("3071-0000-4920","")</f>
        <v>3071-0000-4920</v>
      </c>
      <c r="B1352" s="4" t="s">
        <v>9462</v>
      </c>
      <c r="C1352" s="5">
        <v>41489</v>
      </c>
      <c r="D1352" s="5">
        <v>41549</v>
      </c>
      <c r="E1352" s="4" t="s">
        <v>7069</v>
      </c>
      <c r="F1352" s="4" t="s">
        <v>9210</v>
      </c>
    </row>
    <row r="1353" spans="1:6" x14ac:dyDescent="0.25">
      <c r="A1353" s="4" t="str">
        <f>CONCATENATE("3071-0000-1386","")</f>
        <v>3071-0000-1386</v>
      </c>
      <c r="B1353" s="4" t="s">
        <v>2563</v>
      </c>
      <c r="C1353" s="5">
        <v>41489</v>
      </c>
      <c r="D1353" s="5">
        <v>41549</v>
      </c>
      <c r="E1353" s="4" t="s">
        <v>1381</v>
      </c>
      <c r="F1353" s="4" t="s">
        <v>2303</v>
      </c>
    </row>
    <row r="1354" spans="1:6" x14ac:dyDescent="0.25">
      <c r="A1354" s="4" t="str">
        <f>CONCATENATE("3071-0000-4943","")</f>
        <v>3071-0000-4943</v>
      </c>
      <c r="B1354" s="4" t="s">
        <v>9610</v>
      </c>
      <c r="C1354" s="5">
        <v>41489</v>
      </c>
      <c r="D1354" s="5">
        <v>41549</v>
      </c>
      <c r="E1354" s="4" t="s">
        <v>7069</v>
      </c>
      <c r="F1354" s="4" t="s">
        <v>9485</v>
      </c>
    </row>
    <row r="1355" spans="1:6" x14ac:dyDescent="0.25">
      <c r="A1355" s="4" t="str">
        <f>CONCATENATE("3071-0000-4690","")</f>
        <v>3071-0000-4690</v>
      </c>
      <c r="B1355" s="4" t="s">
        <v>9367</v>
      </c>
      <c r="C1355" s="5">
        <v>41489</v>
      </c>
      <c r="D1355" s="5">
        <v>41549</v>
      </c>
      <c r="E1355" s="4" t="s">
        <v>1410</v>
      </c>
      <c r="F1355" s="4" t="s">
        <v>8696</v>
      </c>
    </row>
    <row r="1356" spans="1:6" x14ac:dyDescent="0.25">
      <c r="A1356" s="4" t="str">
        <f>CONCATENATE("3071-0000-2338","")</f>
        <v>3071-0000-2338</v>
      </c>
      <c r="B1356" s="4" t="s">
        <v>3338</v>
      </c>
      <c r="C1356" s="5">
        <v>41489</v>
      </c>
      <c r="D1356" s="5">
        <v>41549</v>
      </c>
      <c r="E1356" s="4" t="s">
        <v>2944</v>
      </c>
      <c r="F1356" s="4" t="s">
        <v>2945</v>
      </c>
    </row>
    <row r="1357" spans="1:6" x14ac:dyDescent="0.25">
      <c r="A1357" s="4" t="str">
        <f>CONCATENATE("3071-0000-1148","")</f>
        <v>3071-0000-1148</v>
      </c>
      <c r="B1357" s="4" t="s">
        <v>2121</v>
      </c>
      <c r="C1357" s="5">
        <v>41489</v>
      </c>
      <c r="D1357" s="5">
        <v>41549</v>
      </c>
      <c r="E1357" s="4" t="s">
        <v>1857</v>
      </c>
      <c r="F1357" s="4" t="s">
        <v>1857</v>
      </c>
    </row>
    <row r="1358" spans="1:6" x14ac:dyDescent="0.25">
      <c r="A1358" s="4" t="str">
        <f>CONCATENATE("3071-0000-1377","")</f>
        <v>3071-0000-1377</v>
      </c>
      <c r="B1358" s="4" t="s">
        <v>2550</v>
      </c>
      <c r="C1358" s="5">
        <v>41489</v>
      </c>
      <c r="D1358" s="5">
        <v>41549</v>
      </c>
      <c r="E1358" s="4" t="s">
        <v>1381</v>
      </c>
      <c r="F1358" s="4" t="s">
        <v>2303</v>
      </c>
    </row>
    <row r="1359" spans="1:6" x14ac:dyDescent="0.25">
      <c r="A1359" s="4" t="str">
        <f>CONCATENATE("3071-0000-0851","")</f>
        <v>3071-0000-0851</v>
      </c>
      <c r="B1359" s="4" t="s">
        <v>1938</v>
      </c>
      <c r="C1359" s="5">
        <v>41489</v>
      </c>
      <c r="D1359" s="5">
        <v>41549</v>
      </c>
      <c r="E1359" s="4" t="s">
        <v>1857</v>
      </c>
      <c r="F1359" s="4" t="s">
        <v>1857</v>
      </c>
    </row>
    <row r="1360" spans="1:6" x14ac:dyDescent="0.25">
      <c r="A1360" s="4" t="str">
        <f>CONCATENATE("3071-0000-0839","")</f>
        <v>3071-0000-0839</v>
      </c>
      <c r="B1360" s="4" t="s">
        <v>1911</v>
      </c>
      <c r="C1360" s="5">
        <v>41489</v>
      </c>
      <c r="D1360" s="5">
        <v>41549</v>
      </c>
      <c r="E1360" s="4" t="s">
        <v>1857</v>
      </c>
      <c r="F1360" s="4" t="s">
        <v>1857</v>
      </c>
    </row>
    <row r="1361" spans="1:6" x14ac:dyDescent="0.25">
      <c r="A1361" s="4" t="str">
        <f>CONCATENATE("3071-0000-1078","")</f>
        <v>3071-0000-1078</v>
      </c>
      <c r="B1361" s="4" t="s">
        <v>1944</v>
      </c>
      <c r="C1361" s="5">
        <v>41489</v>
      </c>
      <c r="D1361" s="5">
        <v>41549</v>
      </c>
      <c r="E1361" s="4" t="s">
        <v>1857</v>
      </c>
      <c r="F1361" s="4" t="s">
        <v>1857</v>
      </c>
    </row>
    <row r="1362" spans="1:6" x14ac:dyDescent="0.25">
      <c r="A1362" s="4" t="str">
        <f>CONCATENATE("3071-0000-2137","")</f>
        <v>3071-0000-2137</v>
      </c>
      <c r="B1362" s="4" t="s">
        <v>3586</v>
      </c>
      <c r="C1362" s="5">
        <v>41489</v>
      </c>
      <c r="D1362" s="5">
        <v>41549</v>
      </c>
      <c r="E1362" s="4" t="s">
        <v>2944</v>
      </c>
      <c r="F1362" s="4" t="s">
        <v>2945</v>
      </c>
    </row>
    <row r="1363" spans="1:6" x14ac:dyDescent="0.25">
      <c r="A1363" s="4" t="str">
        <f>CONCATENATE("3071-0000-1555","")</f>
        <v>3071-0000-1555</v>
      </c>
      <c r="B1363" s="4" t="s">
        <v>2579</v>
      </c>
      <c r="C1363" s="5">
        <v>41489</v>
      </c>
      <c r="D1363" s="5">
        <v>41549</v>
      </c>
      <c r="E1363" s="4" t="s">
        <v>1381</v>
      </c>
      <c r="F1363" s="4" t="s">
        <v>2303</v>
      </c>
    </row>
    <row r="1364" spans="1:6" x14ac:dyDescent="0.25">
      <c r="A1364" s="4" t="str">
        <f>CONCATENATE("3071-0000-1323","")</f>
        <v>3071-0000-1323</v>
      </c>
      <c r="B1364" s="4" t="s">
        <v>2447</v>
      </c>
      <c r="C1364" s="5">
        <v>41489</v>
      </c>
      <c r="D1364" s="5">
        <v>41549</v>
      </c>
      <c r="E1364" s="4" t="s">
        <v>1381</v>
      </c>
      <c r="F1364" s="4" t="s">
        <v>2303</v>
      </c>
    </row>
    <row r="1365" spans="1:6" x14ac:dyDescent="0.25">
      <c r="A1365" s="4" t="str">
        <f>CONCATENATE("3071-0000-1120","")</f>
        <v>3071-0000-1120</v>
      </c>
      <c r="B1365" s="4" t="s">
        <v>2109</v>
      </c>
      <c r="C1365" s="5">
        <v>41489</v>
      </c>
      <c r="D1365" s="5">
        <v>41549</v>
      </c>
      <c r="E1365" s="4" t="s">
        <v>1857</v>
      </c>
      <c r="F1365" s="4" t="s">
        <v>2108</v>
      </c>
    </row>
    <row r="1366" spans="1:6" x14ac:dyDescent="0.25">
      <c r="A1366" s="4" t="str">
        <f>CONCATENATE("3071-0000-0868","")</f>
        <v>3071-0000-0868</v>
      </c>
      <c r="B1366" s="4" t="s">
        <v>1973</v>
      </c>
      <c r="C1366" s="5">
        <v>41489</v>
      </c>
      <c r="D1366" s="5">
        <v>41549</v>
      </c>
      <c r="E1366" s="4" t="s">
        <v>1857</v>
      </c>
      <c r="F1366" s="4" t="s">
        <v>1857</v>
      </c>
    </row>
    <row r="1367" spans="1:6" x14ac:dyDescent="0.25">
      <c r="A1367" s="4" t="str">
        <f>CONCATENATE("3071-0000-3257","")</f>
        <v>3071-0000-3257</v>
      </c>
      <c r="B1367" s="4" t="s">
        <v>1082</v>
      </c>
      <c r="C1367" s="5">
        <v>41489</v>
      </c>
      <c r="D1367" s="5">
        <v>41549</v>
      </c>
      <c r="E1367" s="4" t="s">
        <v>7</v>
      </c>
      <c r="F1367" s="4" t="s">
        <v>808</v>
      </c>
    </row>
    <row r="1368" spans="1:6" x14ac:dyDescent="0.25">
      <c r="A1368" s="4" t="str">
        <f>CONCATENATE("3071-0000-3962","")</f>
        <v>3071-0000-3962</v>
      </c>
      <c r="B1368" s="4" t="s">
        <v>4178</v>
      </c>
      <c r="C1368" s="5">
        <v>41489</v>
      </c>
      <c r="D1368" s="5">
        <v>41549</v>
      </c>
      <c r="E1368" s="4" t="s">
        <v>2944</v>
      </c>
      <c r="F1368" s="4" t="s">
        <v>3513</v>
      </c>
    </row>
    <row r="1369" spans="1:6" x14ac:dyDescent="0.25">
      <c r="A1369" s="4" t="str">
        <f>CONCATENATE("3071-0000-4204","")</f>
        <v>3071-0000-4204</v>
      </c>
      <c r="B1369" s="4" t="s">
        <v>3987</v>
      </c>
      <c r="C1369" s="5">
        <v>41489</v>
      </c>
      <c r="D1369" s="5">
        <v>41549</v>
      </c>
      <c r="E1369" s="4" t="s">
        <v>7</v>
      </c>
      <c r="F1369" s="4" t="s">
        <v>7</v>
      </c>
    </row>
    <row r="1370" spans="1:6" x14ac:dyDescent="0.25">
      <c r="A1370" s="4" t="str">
        <f>CONCATENATE("3071-0000-4055","")</f>
        <v>3071-0000-4055</v>
      </c>
      <c r="B1370" s="4" t="s">
        <v>3985</v>
      </c>
      <c r="C1370" s="5">
        <v>41489</v>
      </c>
      <c r="D1370" s="5">
        <v>41549</v>
      </c>
      <c r="E1370" s="4" t="s">
        <v>7</v>
      </c>
      <c r="F1370" s="4" t="s">
        <v>1419</v>
      </c>
    </row>
    <row r="1371" spans="1:6" x14ac:dyDescent="0.25">
      <c r="A1371" s="4" t="str">
        <f>CONCATENATE("3071-0000-4106","")</f>
        <v>3071-0000-4106</v>
      </c>
      <c r="B1371" s="4" t="s">
        <v>4154</v>
      </c>
      <c r="C1371" s="5">
        <v>41489</v>
      </c>
      <c r="D1371" s="5">
        <v>41549</v>
      </c>
      <c r="E1371" s="4" t="s">
        <v>7</v>
      </c>
      <c r="F1371" s="4" t="s">
        <v>1419</v>
      </c>
    </row>
    <row r="1372" spans="1:6" x14ac:dyDescent="0.25">
      <c r="A1372" s="4" t="str">
        <f>CONCATENATE("3071-0000-1440","")</f>
        <v>3071-0000-1440</v>
      </c>
      <c r="B1372" s="4" t="s">
        <v>2825</v>
      </c>
      <c r="C1372" s="5">
        <v>41489</v>
      </c>
      <c r="D1372" s="5">
        <v>41549</v>
      </c>
      <c r="E1372" s="4" t="s">
        <v>1381</v>
      </c>
      <c r="F1372" s="4" t="s">
        <v>2303</v>
      </c>
    </row>
    <row r="1373" spans="1:6" x14ac:dyDescent="0.25">
      <c r="A1373" s="4" t="str">
        <f>CONCATENATE("3071-0000-4213","")</f>
        <v>3071-0000-4213</v>
      </c>
      <c r="B1373" s="4" t="s">
        <v>4034</v>
      </c>
      <c r="C1373" s="5">
        <v>41489</v>
      </c>
      <c r="D1373" s="5">
        <v>41549</v>
      </c>
      <c r="E1373" s="4" t="s">
        <v>1381</v>
      </c>
      <c r="F1373" s="4" t="s">
        <v>3994</v>
      </c>
    </row>
    <row r="1374" spans="1:6" x14ac:dyDescent="0.25">
      <c r="A1374" s="4" t="str">
        <f>CONCATENATE("3071-0000-3673","")</f>
        <v>3071-0000-3673</v>
      </c>
      <c r="B1374" s="4" t="s">
        <v>1684</v>
      </c>
      <c r="C1374" s="5">
        <v>41489</v>
      </c>
      <c r="D1374" s="5">
        <v>41549</v>
      </c>
      <c r="E1374" s="4" t="s">
        <v>1410</v>
      </c>
      <c r="F1374" s="4" t="s">
        <v>1601</v>
      </c>
    </row>
    <row r="1375" spans="1:6" x14ac:dyDescent="0.25">
      <c r="A1375" s="4" t="str">
        <f>CONCATENATE("3071-0000-9057","")</f>
        <v>3071-0000-9057</v>
      </c>
      <c r="B1375" s="4" t="s">
        <v>5809</v>
      </c>
      <c r="C1375" s="5">
        <v>41489</v>
      </c>
      <c r="D1375" s="5">
        <v>41549</v>
      </c>
      <c r="E1375" s="4" t="s">
        <v>5185</v>
      </c>
      <c r="F1375" s="4" t="s">
        <v>5763</v>
      </c>
    </row>
    <row r="1376" spans="1:6" x14ac:dyDescent="0.25">
      <c r="A1376" s="4" t="str">
        <f>CONCATENATE("3071-0000-3290","")</f>
        <v>3071-0000-3290</v>
      </c>
      <c r="B1376" s="4" t="s">
        <v>1091</v>
      </c>
      <c r="C1376" s="5">
        <v>41489</v>
      </c>
      <c r="D1376" s="5">
        <v>41549</v>
      </c>
      <c r="E1376" s="4" t="s">
        <v>7</v>
      </c>
      <c r="F1376" s="4" t="s">
        <v>808</v>
      </c>
    </row>
    <row r="1377" spans="1:6" x14ac:dyDescent="0.25">
      <c r="A1377" s="4" t="str">
        <f>CONCATENATE("3071-0000-0547","")</f>
        <v>3071-0000-0547</v>
      </c>
      <c r="B1377" s="4" t="s">
        <v>234</v>
      </c>
      <c r="C1377" s="5">
        <v>41489</v>
      </c>
      <c r="D1377" s="5">
        <v>41549</v>
      </c>
      <c r="E1377" s="4" t="s">
        <v>7</v>
      </c>
      <c r="F1377" s="4" t="s">
        <v>7</v>
      </c>
    </row>
    <row r="1378" spans="1:6" x14ac:dyDescent="0.25">
      <c r="A1378" s="4" t="str">
        <f>CONCATENATE("3071-0000-4314","")</f>
        <v>3071-0000-4314</v>
      </c>
      <c r="B1378" s="4" t="s">
        <v>8856</v>
      </c>
      <c r="C1378" s="5">
        <v>41489</v>
      </c>
      <c r="D1378" s="5">
        <v>41549</v>
      </c>
      <c r="E1378" s="4" t="s">
        <v>1410</v>
      </c>
      <c r="F1378" s="4" t="s">
        <v>8696</v>
      </c>
    </row>
    <row r="1379" spans="1:6" x14ac:dyDescent="0.25">
      <c r="A1379" s="4" t="str">
        <f>CONCATENATE("3071-0000-4304","")</f>
        <v>3071-0000-4304</v>
      </c>
      <c r="B1379" s="4" t="s">
        <v>8881</v>
      </c>
      <c r="C1379" s="5">
        <v>41489</v>
      </c>
      <c r="D1379" s="5">
        <v>41549</v>
      </c>
      <c r="E1379" s="4" t="s">
        <v>1410</v>
      </c>
      <c r="F1379" s="4" t="s">
        <v>8696</v>
      </c>
    </row>
    <row r="1380" spans="1:6" x14ac:dyDescent="0.25">
      <c r="A1380" s="4" t="str">
        <f>CONCATENATE("3071-0000-8186","")</f>
        <v>3071-0000-8186</v>
      </c>
      <c r="B1380" s="4" t="s">
        <v>5782</v>
      </c>
      <c r="C1380" s="5">
        <v>41489</v>
      </c>
      <c r="D1380" s="5">
        <v>41549</v>
      </c>
      <c r="E1380" s="4" t="s">
        <v>5185</v>
      </c>
      <c r="F1380" s="4" t="s">
        <v>5185</v>
      </c>
    </row>
    <row r="1381" spans="1:6" x14ac:dyDescent="0.25">
      <c r="A1381" s="4" t="str">
        <f>CONCATENATE("3071-0000-1550","")</f>
        <v>3071-0000-1550</v>
      </c>
      <c r="B1381" s="4" t="s">
        <v>2306</v>
      </c>
      <c r="C1381" s="5">
        <v>41489</v>
      </c>
      <c r="D1381" s="5">
        <v>41549</v>
      </c>
      <c r="E1381" s="4" t="s">
        <v>1381</v>
      </c>
      <c r="F1381" s="4" t="s">
        <v>2303</v>
      </c>
    </row>
    <row r="1382" spans="1:6" x14ac:dyDescent="0.25">
      <c r="A1382" s="4" t="str">
        <f>CONCATENATE("3071-0000-1608","")</f>
        <v>3071-0000-1608</v>
      </c>
      <c r="B1382" s="4" t="s">
        <v>2310</v>
      </c>
      <c r="C1382" s="5">
        <v>41489</v>
      </c>
      <c r="D1382" s="5">
        <v>41549</v>
      </c>
      <c r="E1382" s="4" t="s">
        <v>1381</v>
      </c>
      <c r="F1382" s="4" t="s">
        <v>2303</v>
      </c>
    </row>
    <row r="1383" spans="1:6" x14ac:dyDescent="0.25">
      <c r="A1383" s="4" t="str">
        <f>CONCATENATE("3071-0000-1739","")</f>
        <v>3071-0000-1739</v>
      </c>
      <c r="B1383" s="4" t="s">
        <v>2734</v>
      </c>
      <c r="C1383" s="5">
        <v>41489</v>
      </c>
      <c r="D1383" s="5">
        <v>41549</v>
      </c>
      <c r="E1383" s="4" t="s">
        <v>1381</v>
      </c>
      <c r="F1383" s="4" t="s">
        <v>2662</v>
      </c>
    </row>
    <row r="1384" spans="1:6" x14ac:dyDescent="0.25">
      <c r="A1384" s="4" t="str">
        <f>CONCATENATE("3071-0000-1193","")</f>
        <v>3071-0000-1193</v>
      </c>
      <c r="B1384" s="4" t="s">
        <v>2183</v>
      </c>
      <c r="C1384" s="5">
        <v>41489</v>
      </c>
      <c r="D1384" s="5">
        <v>41549</v>
      </c>
      <c r="E1384" s="4" t="s">
        <v>1857</v>
      </c>
      <c r="F1384" s="4" t="s">
        <v>2052</v>
      </c>
    </row>
    <row r="1385" spans="1:6" x14ac:dyDescent="0.25">
      <c r="A1385" s="4" t="str">
        <f>CONCATENATE("3071-0000-1156","")</f>
        <v>3071-0000-1156</v>
      </c>
      <c r="B1385" s="4" t="s">
        <v>2156</v>
      </c>
      <c r="C1385" s="5">
        <v>41489</v>
      </c>
      <c r="D1385" s="5">
        <v>41549</v>
      </c>
      <c r="E1385" s="4" t="s">
        <v>1857</v>
      </c>
      <c r="F1385" s="4" t="s">
        <v>2144</v>
      </c>
    </row>
    <row r="1386" spans="1:6" x14ac:dyDescent="0.25">
      <c r="A1386" s="4" t="str">
        <f>CONCATENATE("3071-0000-1265","")</f>
        <v>3071-0000-1265</v>
      </c>
      <c r="B1386" s="4" t="s">
        <v>2358</v>
      </c>
      <c r="C1386" s="5">
        <v>41489</v>
      </c>
      <c r="D1386" s="5">
        <v>41549</v>
      </c>
      <c r="E1386" s="4" t="s">
        <v>1381</v>
      </c>
      <c r="F1386" s="4" t="s">
        <v>2303</v>
      </c>
    </row>
    <row r="1387" spans="1:6" x14ac:dyDescent="0.25">
      <c r="A1387" s="4" t="str">
        <f>CONCATENATE("3071-0000-1014","")</f>
        <v>3071-0000-1014</v>
      </c>
      <c r="B1387" s="4" t="s">
        <v>2233</v>
      </c>
      <c r="C1387" s="5">
        <v>41489</v>
      </c>
      <c r="D1387" s="5">
        <v>41549</v>
      </c>
      <c r="E1387" s="4" t="s">
        <v>1857</v>
      </c>
      <c r="F1387" s="4" t="s">
        <v>1857</v>
      </c>
    </row>
    <row r="1388" spans="1:6" x14ac:dyDescent="0.25">
      <c r="A1388" s="4" t="str">
        <f>CONCATENATE("3071-0000-1637","")</f>
        <v>3071-0000-1637</v>
      </c>
      <c r="B1388" s="4" t="s">
        <v>2700</v>
      </c>
      <c r="C1388" s="5">
        <v>41489</v>
      </c>
      <c r="D1388" s="5">
        <v>41549</v>
      </c>
      <c r="E1388" s="4" t="s">
        <v>1381</v>
      </c>
      <c r="F1388" s="4" t="s">
        <v>2303</v>
      </c>
    </row>
    <row r="1389" spans="1:6" x14ac:dyDescent="0.25">
      <c r="A1389" s="4" t="str">
        <f>CONCATENATE("3071-0000-1640","")</f>
        <v>3071-0000-1640</v>
      </c>
      <c r="B1389" s="4" t="s">
        <v>2715</v>
      </c>
      <c r="C1389" s="5">
        <v>41489</v>
      </c>
      <c r="D1389" s="5">
        <v>41549</v>
      </c>
      <c r="E1389" s="4" t="s">
        <v>1381</v>
      </c>
      <c r="F1389" s="4" t="s">
        <v>2303</v>
      </c>
    </row>
    <row r="1390" spans="1:6" x14ac:dyDescent="0.25">
      <c r="A1390" s="4" t="str">
        <f>CONCATENATE("3071-0000-1665","")</f>
        <v>3071-0000-1665</v>
      </c>
      <c r="B1390" s="4" t="s">
        <v>2902</v>
      </c>
      <c r="C1390" s="5">
        <v>41489</v>
      </c>
      <c r="D1390" s="5">
        <v>41549</v>
      </c>
      <c r="E1390" s="4" t="s">
        <v>1381</v>
      </c>
      <c r="F1390" s="4" t="s">
        <v>2662</v>
      </c>
    </row>
    <row r="1391" spans="1:6" x14ac:dyDescent="0.25">
      <c r="A1391" s="4" t="str">
        <f>CONCATENATE("3071-0000-1464","")</f>
        <v>3071-0000-1464</v>
      </c>
      <c r="B1391" s="4" t="s">
        <v>2908</v>
      </c>
      <c r="C1391" s="5">
        <v>41489</v>
      </c>
      <c r="D1391" s="5">
        <v>41549</v>
      </c>
      <c r="E1391" s="4" t="s">
        <v>1381</v>
      </c>
      <c r="F1391" s="4" t="s">
        <v>2303</v>
      </c>
    </row>
    <row r="1392" spans="1:6" x14ac:dyDescent="0.25">
      <c r="A1392" s="4" t="str">
        <f>CONCATENATE("3071-0000-2013","")</f>
        <v>3071-0000-2013</v>
      </c>
      <c r="B1392" s="4" t="s">
        <v>3304</v>
      </c>
      <c r="C1392" s="5">
        <v>41489</v>
      </c>
      <c r="D1392" s="5">
        <v>41549</v>
      </c>
      <c r="E1392" s="4" t="s">
        <v>2944</v>
      </c>
      <c r="F1392" s="4" t="s">
        <v>2945</v>
      </c>
    </row>
    <row r="1393" spans="1:6" x14ac:dyDescent="0.25">
      <c r="A1393" s="4" t="str">
        <f>CONCATENATE("3071-0000-4444","")</f>
        <v>3071-0000-4444</v>
      </c>
      <c r="B1393" s="4" t="s">
        <v>9320</v>
      </c>
      <c r="C1393" s="5">
        <v>41489</v>
      </c>
      <c r="D1393" s="5">
        <v>41549</v>
      </c>
      <c r="E1393" s="4" t="s">
        <v>1410</v>
      </c>
      <c r="F1393" s="4" t="s">
        <v>8696</v>
      </c>
    </row>
    <row r="1394" spans="1:6" x14ac:dyDescent="0.25">
      <c r="A1394" s="4" t="str">
        <f>CONCATENATE("3071-0000-4654","")</f>
        <v>3071-0000-4654</v>
      </c>
      <c r="B1394" s="4" t="s">
        <v>9124</v>
      </c>
      <c r="C1394" s="5">
        <v>41489</v>
      </c>
      <c r="D1394" s="5">
        <v>41549</v>
      </c>
      <c r="E1394" s="4" t="s">
        <v>1410</v>
      </c>
      <c r="F1394" s="4" t="s">
        <v>8696</v>
      </c>
    </row>
    <row r="1395" spans="1:6" x14ac:dyDescent="0.25">
      <c r="A1395" s="4" t="str">
        <f>CONCATENATE("3071-0000-1482","")</f>
        <v>3071-0000-1482</v>
      </c>
      <c r="B1395" s="4" t="s">
        <v>2932</v>
      </c>
      <c r="C1395" s="5">
        <v>41489</v>
      </c>
      <c r="D1395" s="5">
        <v>41549</v>
      </c>
      <c r="E1395" s="4" t="s">
        <v>1381</v>
      </c>
      <c r="F1395" s="4" t="s">
        <v>2303</v>
      </c>
    </row>
    <row r="1396" spans="1:6" x14ac:dyDescent="0.25">
      <c r="A1396" s="4" t="str">
        <f>CONCATENATE("3071-0000-0230","")</f>
        <v>3071-0000-0230</v>
      </c>
      <c r="B1396" s="4" t="s">
        <v>481</v>
      </c>
      <c r="C1396" s="5">
        <v>41489</v>
      </c>
      <c r="D1396" s="5">
        <v>41549</v>
      </c>
      <c r="E1396" s="4" t="s">
        <v>7</v>
      </c>
      <c r="F1396" s="4" t="s">
        <v>7</v>
      </c>
    </row>
    <row r="1397" spans="1:6" x14ac:dyDescent="0.25">
      <c r="A1397" s="4" t="str">
        <f>CONCATENATE("3071-0000-4242","")</f>
        <v>3071-0000-4242</v>
      </c>
      <c r="B1397" s="4" t="s">
        <v>8727</v>
      </c>
      <c r="C1397" s="5">
        <v>41489</v>
      </c>
      <c r="D1397" s="5">
        <v>41549</v>
      </c>
      <c r="E1397" s="4" t="s">
        <v>1410</v>
      </c>
      <c r="F1397" s="4" t="s">
        <v>8696</v>
      </c>
    </row>
    <row r="1398" spans="1:6" x14ac:dyDescent="0.25">
      <c r="A1398" s="4" t="str">
        <f>CONCATENATE("3071-0000-2494","")</f>
        <v>3071-0000-2494</v>
      </c>
      <c r="B1398" s="4" t="s">
        <v>3594</v>
      </c>
      <c r="C1398" s="5">
        <v>41489</v>
      </c>
      <c r="D1398" s="5">
        <v>41549</v>
      </c>
      <c r="E1398" s="4" t="s">
        <v>2944</v>
      </c>
      <c r="F1398" s="4" t="s">
        <v>3593</v>
      </c>
    </row>
    <row r="1399" spans="1:6" x14ac:dyDescent="0.25">
      <c r="A1399" s="4" t="str">
        <f>CONCATENATE("3071-0000-7765","")</f>
        <v>3071-0000-7765</v>
      </c>
      <c r="B1399" s="4" t="s">
        <v>4417</v>
      </c>
      <c r="C1399" s="5">
        <v>41489</v>
      </c>
      <c r="D1399" s="5">
        <v>41549</v>
      </c>
      <c r="E1399" s="4" t="s">
        <v>1410</v>
      </c>
      <c r="F1399" s="4" t="s">
        <v>1410</v>
      </c>
    </row>
    <row r="1400" spans="1:6" x14ac:dyDescent="0.25">
      <c r="A1400" s="4" t="str">
        <f>CONCATENATE("3071-0000-2524","")</f>
        <v>3071-0000-2524</v>
      </c>
      <c r="B1400" s="4" t="s">
        <v>3598</v>
      </c>
      <c r="C1400" s="5">
        <v>41489</v>
      </c>
      <c r="D1400" s="5">
        <v>41549</v>
      </c>
      <c r="E1400" s="4" t="s">
        <v>2944</v>
      </c>
      <c r="F1400" s="4" t="s">
        <v>3567</v>
      </c>
    </row>
    <row r="1401" spans="1:6" x14ac:dyDescent="0.25">
      <c r="A1401" s="4" t="str">
        <f>CONCATENATE("3071-0000-0647","")</f>
        <v>3071-0000-0647</v>
      </c>
      <c r="B1401" s="4" t="s">
        <v>790</v>
      </c>
      <c r="C1401" s="5">
        <v>41489</v>
      </c>
      <c r="D1401" s="5">
        <v>41549</v>
      </c>
      <c r="E1401" s="4" t="s">
        <v>7</v>
      </c>
      <c r="F1401" s="4" t="s">
        <v>7</v>
      </c>
    </row>
    <row r="1402" spans="1:6" x14ac:dyDescent="0.25">
      <c r="A1402" s="4" t="str">
        <f>CONCATENATE("3071-0000-2200","")</f>
        <v>3071-0000-2200</v>
      </c>
      <c r="B1402" s="4" t="s">
        <v>3703</v>
      </c>
      <c r="C1402" s="5">
        <v>41489</v>
      </c>
      <c r="D1402" s="5">
        <v>41549</v>
      </c>
      <c r="E1402" s="4" t="s">
        <v>2944</v>
      </c>
      <c r="F1402" s="4" t="s">
        <v>2945</v>
      </c>
    </row>
    <row r="1403" spans="1:6" x14ac:dyDescent="0.25">
      <c r="A1403" s="4" t="str">
        <f>CONCATENATE("3071-0000-1579","")</f>
        <v>3071-0000-1579</v>
      </c>
      <c r="B1403" s="4" t="s">
        <v>2787</v>
      </c>
      <c r="C1403" s="5">
        <v>41489</v>
      </c>
      <c r="D1403" s="5">
        <v>41549</v>
      </c>
      <c r="E1403" s="4" t="s">
        <v>1381</v>
      </c>
      <c r="F1403" s="4" t="s">
        <v>2303</v>
      </c>
    </row>
    <row r="1404" spans="1:6" x14ac:dyDescent="0.25">
      <c r="A1404" s="4" t="str">
        <f>CONCATENATE("3071-0000-3773","")</f>
        <v>3071-0000-3773</v>
      </c>
      <c r="B1404" s="4" t="s">
        <v>1578</v>
      </c>
      <c r="C1404" s="5">
        <v>41489</v>
      </c>
      <c r="D1404" s="5">
        <v>41549</v>
      </c>
      <c r="E1404" s="4" t="s">
        <v>1410</v>
      </c>
      <c r="F1404" s="4" t="s">
        <v>1411</v>
      </c>
    </row>
    <row r="1405" spans="1:6" x14ac:dyDescent="0.25">
      <c r="A1405" s="4" t="str">
        <f>CONCATENATE("3071-0000-0280","")</f>
        <v>3071-0000-0280</v>
      </c>
      <c r="B1405" s="4" t="s">
        <v>672</v>
      </c>
      <c r="C1405" s="5">
        <v>41489</v>
      </c>
      <c r="D1405" s="5">
        <v>41549</v>
      </c>
      <c r="E1405" s="4" t="s">
        <v>7</v>
      </c>
      <c r="F1405" s="4" t="s">
        <v>7</v>
      </c>
    </row>
    <row r="1406" spans="1:6" x14ac:dyDescent="0.25">
      <c r="A1406" s="4" t="str">
        <f>CONCATENATE("3071-0000-3747","")</f>
        <v>3071-0000-3747</v>
      </c>
      <c r="B1406" s="4" t="s">
        <v>1598</v>
      </c>
      <c r="C1406" s="5">
        <v>41489</v>
      </c>
      <c r="D1406" s="5">
        <v>41549</v>
      </c>
      <c r="E1406" s="4" t="s">
        <v>1410</v>
      </c>
      <c r="F1406" s="4" t="s">
        <v>1411</v>
      </c>
    </row>
    <row r="1407" spans="1:6" x14ac:dyDescent="0.25">
      <c r="A1407" s="4" t="str">
        <f>CONCATENATE("3071-0000-0257","")</f>
        <v>3071-0000-0257</v>
      </c>
      <c r="B1407" s="4" t="s">
        <v>563</v>
      </c>
      <c r="C1407" s="5">
        <v>41489</v>
      </c>
      <c r="D1407" s="5">
        <v>41549</v>
      </c>
      <c r="E1407" s="4" t="s">
        <v>7</v>
      </c>
      <c r="F1407" s="4" t="s">
        <v>7</v>
      </c>
    </row>
    <row r="1408" spans="1:6" x14ac:dyDescent="0.25">
      <c r="A1408" s="4" t="str">
        <f>CONCATENATE("3071-0000-0134","")</f>
        <v>3071-0000-0134</v>
      </c>
      <c r="B1408" s="4" t="s">
        <v>290</v>
      </c>
      <c r="C1408" s="5">
        <v>41489</v>
      </c>
      <c r="D1408" s="5">
        <v>41549</v>
      </c>
      <c r="E1408" s="4" t="s">
        <v>7</v>
      </c>
      <c r="F1408" s="4" t="s">
        <v>7</v>
      </c>
    </row>
    <row r="1409" spans="1:6" x14ac:dyDescent="0.25">
      <c r="A1409" s="4" t="str">
        <f>CONCATENATE("3071-0000-3906","")</f>
        <v>3071-0000-3906</v>
      </c>
      <c r="B1409" s="4" t="s">
        <v>4129</v>
      </c>
      <c r="C1409" s="5">
        <v>41489</v>
      </c>
      <c r="D1409" s="5">
        <v>41549</v>
      </c>
      <c r="E1409" s="4" t="s">
        <v>2944</v>
      </c>
      <c r="F1409" s="4" t="s">
        <v>3513</v>
      </c>
    </row>
    <row r="1410" spans="1:6" x14ac:dyDescent="0.25">
      <c r="A1410" s="4" t="str">
        <f>CONCATENATE("3071-0000-0368","")</f>
        <v>3071-0000-0368</v>
      </c>
      <c r="B1410" s="4" t="s">
        <v>208</v>
      </c>
      <c r="C1410" s="5">
        <v>41489</v>
      </c>
      <c r="D1410" s="5">
        <v>41549</v>
      </c>
      <c r="E1410" s="4" t="s">
        <v>7</v>
      </c>
      <c r="F1410" s="4" t="s">
        <v>7</v>
      </c>
    </row>
    <row r="1411" spans="1:6" x14ac:dyDescent="0.25">
      <c r="A1411" s="4" t="str">
        <f>CONCATENATE("3071-0000-0638","")</f>
        <v>3071-0000-0638</v>
      </c>
      <c r="B1411" s="4" t="s">
        <v>523</v>
      </c>
      <c r="C1411" s="5">
        <v>41489</v>
      </c>
      <c r="D1411" s="5">
        <v>41549</v>
      </c>
      <c r="E1411" s="4" t="s">
        <v>7</v>
      </c>
      <c r="F1411" s="4" t="s">
        <v>7</v>
      </c>
    </row>
    <row r="1412" spans="1:6" x14ac:dyDescent="0.25">
      <c r="A1412" s="4" t="str">
        <f>CONCATENATE("3071-0000-3329","")</f>
        <v>3071-0000-3329</v>
      </c>
      <c r="B1412" s="4" t="s">
        <v>1255</v>
      </c>
      <c r="C1412" s="5">
        <v>41489</v>
      </c>
      <c r="D1412" s="5">
        <v>41549</v>
      </c>
      <c r="E1412" s="4" t="s">
        <v>7</v>
      </c>
      <c r="F1412" s="4" t="s">
        <v>7</v>
      </c>
    </row>
    <row r="1413" spans="1:6" x14ac:dyDescent="0.25">
      <c r="A1413" s="4" t="str">
        <f>CONCATENATE("3071-0000-0699","")</f>
        <v>3071-0000-0699</v>
      </c>
      <c r="B1413" s="4" t="s">
        <v>425</v>
      </c>
      <c r="C1413" s="5">
        <v>41489</v>
      </c>
      <c r="D1413" s="5">
        <v>41549</v>
      </c>
      <c r="E1413" s="4" t="s">
        <v>7</v>
      </c>
      <c r="F1413" s="4" t="s">
        <v>7</v>
      </c>
    </row>
    <row r="1414" spans="1:6" x14ac:dyDescent="0.25">
      <c r="A1414" s="4" t="str">
        <f>CONCATENATE("3071-0000-0221","")</f>
        <v>3071-0000-0221</v>
      </c>
      <c r="B1414" s="4" t="s">
        <v>469</v>
      </c>
      <c r="C1414" s="5">
        <v>41489</v>
      </c>
      <c r="D1414" s="5">
        <v>41549</v>
      </c>
      <c r="E1414" s="4" t="s">
        <v>7</v>
      </c>
      <c r="F1414" s="4" t="s">
        <v>7</v>
      </c>
    </row>
    <row r="1415" spans="1:6" x14ac:dyDescent="0.25">
      <c r="A1415" s="4" t="str">
        <f>CONCATENATE("3071-0000-0587","")</f>
        <v>3071-0000-0587</v>
      </c>
      <c r="B1415" s="4" t="s">
        <v>259</v>
      </c>
      <c r="C1415" s="5">
        <v>41489</v>
      </c>
      <c r="D1415" s="5">
        <v>41549</v>
      </c>
      <c r="E1415" s="4" t="s">
        <v>7</v>
      </c>
      <c r="F1415" s="4" t="s">
        <v>7</v>
      </c>
    </row>
    <row r="1416" spans="1:6" x14ac:dyDescent="0.25">
      <c r="A1416" s="4" t="str">
        <f>CONCATENATE("3071-0000-0507","")</f>
        <v>3071-0000-0507</v>
      </c>
      <c r="B1416" s="4" t="s">
        <v>749</v>
      </c>
      <c r="C1416" s="5">
        <v>41489</v>
      </c>
      <c r="D1416" s="5">
        <v>41549</v>
      </c>
      <c r="E1416" s="4" t="s">
        <v>7</v>
      </c>
      <c r="F1416" s="4" t="s">
        <v>273</v>
      </c>
    </row>
    <row r="1417" spans="1:6" x14ac:dyDescent="0.25">
      <c r="A1417" s="4" t="str">
        <f>CONCATENATE("3071-0000-2790","")</f>
        <v>3071-0000-2790</v>
      </c>
      <c r="B1417" s="4" t="s">
        <v>986</v>
      </c>
      <c r="C1417" s="5">
        <v>41489</v>
      </c>
      <c r="D1417" s="5">
        <v>41549</v>
      </c>
      <c r="E1417" s="4" t="s">
        <v>7</v>
      </c>
      <c r="F1417" s="4" t="s">
        <v>808</v>
      </c>
    </row>
    <row r="1418" spans="1:6" x14ac:dyDescent="0.25">
      <c r="A1418" s="4" t="str">
        <f>CONCATENATE("3071-0000-4669","")</f>
        <v>3071-0000-4669</v>
      </c>
      <c r="B1418" s="4" t="s">
        <v>9180</v>
      </c>
      <c r="C1418" s="5">
        <v>41489</v>
      </c>
      <c r="D1418" s="5">
        <v>41549</v>
      </c>
      <c r="E1418" s="4" t="s">
        <v>1410</v>
      </c>
      <c r="F1418" s="4" t="s">
        <v>8696</v>
      </c>
    </row>
    <row r="1419" spans="1:6" x14ac:dyDescent="0.25">
      <c r="A1419" s="4" t="str">
        <f>CONCATENATE("3071-0000-2358","")</f>
        <v>3071-0000-2358</v>
      </c>
      <c r="B1419" s="4" t="s">
        <v>3518</v>
      </c>
      <c r="C1419" s="5">
        <v>41489</v>
      </c>
      <c r="D1419" s="5">
        <v>41549</v>
      </c>
      <c r="E1419" s="4" t="s">
        <v>2944</v>
      </c>
      <c r="F1419" s="4" t="s">
        <v>2945</v>
      </c>
    </row>
    <row r="1420" spans="1:6" x14ac:dyDescent="0.25">
      <c r="A1420" s="4" t="str">
        <f>CONCATENATE("3071-0000-2552","")</f>
        <v>3071-0000-2552</v>
      </c>
      <c r="B1420" s="4" t="s">
        <v>3547</v>
      </c>
      <c r="C1420" s="5">
        <v>41489</v>
      </c>
      <c r="D1420" s="5">
        <v>41549</v>
      </c>
      <c r="E1420" s="4" t="s">
        <v>2944</v>
      </c>
      <c r="F1420" s="4" t="s">
        <v>3515</v>
      </c>
    </row>
    <row r="1421" spans="1:6" x14ac:dyDescent="0.25">
      <c r="A1421" s="4" t="str">
        <f>CONCATENATE("3071-0000-5081","")</f>
        <v>3071-0000-5081</v>
      </c>
      <c r="B1421" s="4" t="s">
        <v>9449</v>
      </c>
      <c r="C1421" s="5">
        <v>41489</v>
      </c>
      <c r="D1421" s="5">
        <v>41549</v>
      </c>
      <c r="E1421" s="4" t="s">
        <v>7069</v>
      </c>
      <c r="F1421" s="4" t="s">
        <v>9210</v>
      </c>
    </row>
    <row r="1422" spans="1:6" x14ac:dyDescent="0.25">
      <c r="A1422" s="4" t="str">
        <f>CONCATENATE("3071-0000-5066","")</f>
        <v>3071-0000-5066</v>
      </c>
      <c r="B1422" s="4" t="s">
        <v>9466</v>
      </c>
      <c r="C1422" s="5">
        <v>41489</v>
      </c>
      <c r="D1422" s="5">
        <v>41549</v>
      </c>
      <c r="E1422" s="4" t="s">
        <v>7069</v>
      </c>
      <c r="F1422" s="4" t="s">
        <v>9210</v>
      </c>
    </row>
    <row r="1423" spans="1:6" x14ac:dyDescent="0.25">
      <c r="A1423" s="4" t="str">
        <f>CONCATENATE("3071-0000-4361","")</f>
        <v>3071-0000-4361</v>
      </c>
      <c r="B1423" s="4" t="s">
        <v>9408</v>
      </c>
      <c r="C1423" s="5">
        <v>41489</v>
      </c>
      <c r="D1423" s="5">
        <v>41549</v>
      </c>
      <c r="E1423" s="4" t="s">
        <v>1410</v>
      </c>
      <c r="F1423" s="4" t="s">
        <v>8696</v>
      </c>
    </row>
    <row r="1424" spans="1:6" x14ac:dyDescent="0.25">
      <c r="A1424" s="4" t="str">
        <f>CONCATENATE("3071-0000-4791","")</f>
        <v>3071-0000-4791</v>
      </c>
      <c r="B1424" s="4" t="s">
        <v>9411</v>
      </c>
      <c r="C1424" s="5">
        <v>41489</v>
      </c>
      <c r="D1424" s="5">
        <v>41549</v>
      </c>
      <c r="E1424" s="4" t="s">
        <v>1410</v>
      </c>
      <c r="F1424" s="4" t="s">
        <v>8696</v>
      </c>
    </row>
    <row r="1425" spans="1:6" x14ac:dyDescent="0.25">
      <c r="A1425" s="4" t="str">
        <f>CONCATENATE("3071-0000-2117","")</f>
        <v>3071-0000-2117</v>
      </c>
      <c r="B1425" s="4" t="s">
        <v>3522</v>
      </c>
      <c r="C1425" s="5">
        <v>41489</v>
      </c>
      <c r="D1425" s="5">
        <v>41549</v>
      </c>
      <c r="E1425" s="4" t="s">
        <v>2944</v>
      </c>
      <c r="F1425" s="4" t="s">
        <v>2945</v>
      </c>
    </row>
    <row r="1426" spans="1:6" x14ac:dyDescent="0.25">
      <c r="A1426" s="4" t="str">
        <f>CONCATENATE("3071-0000-6253","")</f>
        <v>3071-0000-6253</v>
      </c>
      <c r="B1426" s="4" t="s">
        <v>7119</v>
      </c>
      <c r="C1426" s="5">
        <v>41489</v>
      </c>
      <c r="D1426" s="5">
        <v>41549</v>
      </c>
      <c r="E1426" s="4" t="s">
        <v>7069</v>
      </c>
      <c r="F1426" s="4" t="s">
        <v>7120</v>
      </c>
    </row>
    <row r="1427" spans="1:6" x14ac:dyDescent="0.25">
      <c r="A1427" s="4" t="str">
        <f>CONCATENATE("3071-0000-1118","")</f>
        <v>3071-0000-1118</v>
      </c>
      <c r="B1427" s="4" t="s">
        <v>2226</v>
      </c>
      <c r="C1427" s="5">
        <v>41489</v>
      </c>
      <c r="D1427" s="5">
        <v>41549</v>
      </c>
      <c r="E1427" s="4" t="s">
        <v>1381</v>
      </c>
      <c r="F1427" s="4" t="s">
        <v>2215</v>
      </c>
    </row>
    <row r="1428" spans="1:6" x14ac:dyDescent="0.25">
      <c r="A1428" s="4" t="str">
        <f>CONCATENATE("3071-0000-0422","")</f>
        <v>3071-0000-0422</v>
      </c>
      <c r="B1428" s="4" t="s">
        <v>641</v>
      </c>
      <c r="C1428" s="5">
        <v>41489</v>
      </c>
      <c r="D1428" s="5">
        <v>41549</v>
      </c>
      <c r="E1428" s="4" t="s">
        <v>7</v>
      </c>
      <c r="F1428" s="4" t="s">
        <v>7</v>
      </c>
    </row>
    <row r="1429" spans="1:6" x14ac:dyDescent="0.25">
      <c r="A1429" s="4" t="str">
        <f>CONCATENATE("3071-0000-2546","")</f>
        <v>3071-0000-2546</v>
      </c>
      <c r="B1429" s="4" t="s">
        <v>3176</v>
      </c>
      <c r="C1429" s="5">
        <v>41489</v>
      </c>
      <c r="D1429" s="5">
        <v>41549</v>
      </c>
      <c r="E1429" s="4" t="s">
        <v>2944</v>
      </c>
      <c r="F1429" s="4" t="s">
        <v>3164</v>
      </c>
    </row>
    <row r="1430" spans="1:6" x14ac:dyDescent="0.25">
      <c r="A1430" s="4" t="str">
        <f>CONCATENATE("3071-0000-2636","")</f>
        <v>3071-0000-2636</v>
      </c>
      <c r="B1430" s="4" t="s">
        <v>3182</v>
      </c>
      <c r="C1430" s="5">
        <v>41489</v>
      </c>
      <c r="D1430" s="5">
        <v>41549</v>
      </c>
      <c r="E1430" s="4" t="s">
        <v>2944</v>
      </c>
      <c r="F1430" s="4" t="s">
        <v>2945</v>
      </c>
    </row>
    <row r="1431" spans="1:6" x14ac:dyDescent="0.25">
      <c r="A1431" s="4" t="str">
        <f>CONCATENATE("3071-0000-2156","")</f>
        <v>3071-0000-2156</v>
      </c>
      <c r="B1431" s="4" t="s">
        <v>3183</v>
      </c>
      <c r="C1431" s="5">
        <v>41489</v>
      </c>
      <c r="D1431" s="5">
        <v>41549</v>
      </c>
      <c r="E1431" s="4" t="s">
        <v>2944</v>
      </c>
      <c r="F1431" s="4" t="s">
        <v>3164</v>
      </c>
    </row>
    <row r="1432" spans="1:6" x14ac:dyDescent="0.25">
      <c r="A1432" s="4" t="str">
        <f>CONCATENATE("3071-0000-2167","")</f>
        <v>3071-0000-2167</v>
      </c>
      <c r="B1432" s="4" t="s">
        <v>3184</v>
      </c>
      <c r="C1432" s="5">
        <v>41489</v>
      </c>
      <c r="D1432" s="5">
        <v>41549</v>
      </c>
      <c r="E1432" s="4" t="s">
        <v>2944</v>
      </c>
      <c r="F1432" s="4" t="s">
        <v>2945</v>
      </c>
    </row>
    <row r="1433" spans="1:6" x14ac:dyDescent="0.25">
      <c r="A1433" s="4" t="str">
        <f>CONCATENATE("3071-0000-3150","")</f>
        <v>3071-0000-3150</v>
      </c>
      <c r="B1433" s="4" t="s">
        <v>1256</v>
      </c>
      <c r="C1433" s="5">
        <v>41489</v>
      </c>
      <c r="D1433" s="5">
        <v>41549</v>
      </c>
      <c r="E1433" s="4" t="s">
        <v>7</v>
      </c>
      <c r="F1433" s="4" t="s">
        <v>808</v>
      </c>
    </row>
    <row r="1434" spans="1:6" x14ac:dyDescent="0.25">
      <c r="A1434" s="4" t="str">
        <f>CONCATENATE("3071-0000-3035","")</f>
        <v>3071-0000-3035</v>
      </c>
      <c r="B1434" s="4" t="s">
        <v>1307</v>
      </c>
      <c r="C1434" s="5">
        <v>41489</v>
      </c>
      <c r="D1434" s="5">
        <v>41549</v>
      </c>
      <c r="E1434" s="4" t="s">
        <v>7</v>
      </c>
      <c r="F1434" s="4" t="s">
        <v>808</v>
      </c>
    </row>
    <row r="1435" spans="1:6" x14ac:dyDescent="0.25">
      <c r="A1435" s="4" t="str">
        <f>CONCATENATE("3071-0000-3262","")</f>
        <v>3071-0000-3262</v>
      </c>
      <c r="B1435" s="4" t="s">
        <v>1163</v>
      </c>
      <c r="C1435" s="5">
        <v>41489</v>
      </c>
      <c r="D1435" s="5">
        <v>41549</v>
      </c>
      <c r="E1435" s="4" t="s">
        <v>7</v>
      </c>
      <c r="F1435" s="4" t="s">
        <v>808</v>
      </c>
    </row>
    <row r="1436" spans="1:6" x14ac:dyDescent="0.25">
      <c r="A1436" s="4" t="str">
        <f>CONCATENATE("3071-0000-7099","")</f>
        <v>3071-0000-7099</v>
      </c>
      <c r="B1436" s="4" t="s">
        <v>4727</v>
      </c>
      <c r="C1436" s="5">
        <v>41489</v>
      </c>
      <c r="D1436" s="5">
        <v>41549</v>
      </c>
      <c r="E1436" s="4" t="s">
        <v>1410</v>
      </c>
      <c r="F1436" s="4" t="s">
        <v>1410</v>
      </c>
    </row>
    <row r="1437" spans="1:6" x14ac:dyDescent="0.25">
      <c r="A1437" s="4" t="str">
        <f>CONCATENATE("3071-0000-6770","")</f>
        <v>3071-0000-6770</v>
      </c>
      <c r="B1437" s="4" t="s">
        <v>8084</v>
      </c>
      <c r="C1437" s="5">
        <v>41489</v>
      </c>
      <c r="D1437" s="5">
        <v>41549</v>
      </c>
      <c r="E1437" s="4" t="s">
        <v>1410</v>
      </c>
      <c r="F1437" s="4" t="s">
        <v>7967</v>
      </c>
    </row>
    <row r="1438" spans="1:6" x14ac:dyDescent="0.25">
      <c r="A1438" s="4" t="str">
        <f>CONCATENATE("3071-0000-7688","")</f>
        <v>3071-0000-7688</v>
      </c>
      <c r="B1438" s="4" t="s">
        <v>4921</v>
      </c>
      <c r="C1438" s="5">
        <v>41489</v>
      </c>
      <c r="D1438" s="5">
        <v>41549</v>
      </c>
      <c r="E1438" s="4" t="s">
        <v>1410</v>
      </c>
      <c r="F1438" s="4" t="s">
        <v>4616</v>
      </c>
    </row>
    <row r="1439" spans="1:6" x14ac:dyDescent="0.25">
      <c r="A1439" s="4" t="str">
        <f>CONCATENATE("3071-0000-5325","")</f>
        <v>3071-0000-5325</v>
      </c>
      <c r="B1439" s="4" t="s">
        <v>6682</v>
      </c>
      <c r="C1439" s="5">
        <v>41489</v>
      </c>
      <c r="D1439" s="5">
        <v>41549</v>
      </c>
      <c r="E1439" s="4" t="s">
        <v>5185</v>
      </c>
      <c r="F1439" s="4" t="s">
        <v>5185</v>
      </c>
    </row>
    <row r="1440" spans="1:6" x14ac:dyDescent="0.25">
      <c r="A1440" s="4" t="str">
        <f>CONCATENATE("3071-0000-7240","")</f>
        <v>3071-0000-7240</v>
      </c>
      <c r="B1440" s="4" t="s">
        <v>4932</v>
      </c>
      <c r="C1440" s="5">
        <v>41489</v>
      </c>
      <c r="D1440" s="5">
        <v>41549</v>
      </c>
      <c r="E1440" s="4" t="s">
        <v>1410</v>
      </c>
      <c r="F1440" s="4" t="s">
        <v>1410</v>
      </c>
    </row>
    <row r="1441" spans="1:6" x14ac:dyDescent="0.25">
      <c r="A1441" s="4" t="str">
        <f>CONCATENATE("3071-0000-6080","")</f>
        <v>3071-0000-6080</v>
      </c>
      <c r="B1441" s="4" t="s">
        <v>6927</v>
      </c>
      <c r="C1441" s="5">
        <v>41489</v>
      </c>
      <c r="D1441" s="5">
        <v>41549</v>
      </c>
      <c r="E1441" s="4" t="s">
        <v>1410</v>
      </c>
      <c r="F1441" s="4" t="s">
        <v>6635</v>
      </c>
    </row>
    <row r="1442" spans="1:6" x14ac:dyDescent="0.25">
      <c r="A1442" s="4" t="str">
        <f>CONCATENATE("3071-0000-7239","")</f>
        <v>3071-0000-7239</v>
      </c>
      <c r="B1442" s="4" t="s">
        <v>4931</v>
      </c>
      <c r="C1442" s="5">
        <v>41489</v>
      </c>
      <c r="D1442" s="5">
        <v>41549</v>
      </c>
      <c r="E1442" s="4" t="s">
        <v>1410</v>
      </c>
      <c r="F1442" s="4" t="s">
        <v>1410</v>
      </c>
    </row>
    <row r="1443" spans="1:6" x14ac:dyDescent="0.25">
      <c r="A1443" s="4" t="str">
        <f>CONCATENATE("3071-0000-7382","")</f>
        <v>3071-0000-7382</v>
      </c>
      <c r="B1443" s="4" t="s">
        <v>4408</v>
      </c>
      <c r="C1443" s="5">
        <v>41489</v>
      </c>
      <c r="D1443" s="5">
        <v>41549</v>
      </c>
      <c r="E1443" s="4" t="s">
        <v>1410</v>
      </c>
      <c r="F1443" s="4" t="s">
        <v>1410</v>
      </c>
    </row>
    <row r="1444" spans="1:6" x14ac:dyDescent="0.25">
      <c r="A1444" s="4" t="str">
        <f>CONCATENATE("3071-0000-5001","")</f>
        <v>3071-0000-5001</v>
      </c>
      <c r="B1444" s="4" t="s">
        <v>9228</v>
      </c>
      <c r="C1444" s="5">
        <v>41489</v>
      </c>
      <c r="D1444" s="5">
        <v>41549</v>
      </c>
      <c r="E1444" s="4" t="s">
        <v>7069</v>
      </c>
      <c r="F1444" s="4" t="s">
        <v>9210</v>
      </c>
    </row>
    <row r="1445" spans="1:6" x14ac:dyDescent="0.25">
      <c r="A1445" s="4" t="str">
        <f>CONCATENATE("3071-0000-4219","")</f>
        <v>3071-0000-4219</v>
      </c>
      <c r="B1445" s="4" t="s">
        <v>4104</v>
      </c>
      <c r="C1445" s="5">
        <v>41489</v>
      </c>
      <c r="D1445" s="5">
        <v>41549</v>
      </c>
      <c r="E1445" s="4" t="s">
        <v>1381</v>
      </c>
      <c r="F1445" s="4" t="s">
        <v>3698</v>
      </c>
    </row>
    <row r="1446" spans="1:6" x14ac:dyDescent="0.25">
      <c r="A1446" s="4" t="str">
        <f>CONCATENATE("3071-0000-6825","")</f>
        <v>3071-0000-6825</v>
      </c>
      <c r="B1446" s="4" t="s">
        <v>7852</v>
      </c>
      <c r="C1446" s="5">
        <v>41489</v>
      </c>
      <c r="D1446" s="5">
        <v>41549</v>
      </c>
      <c r="E1446" s="4" t="s">
        <v>1410</v>
      </c>
      <c r="F1446" s="4" t="s">
        <v>4655</v>
      </c>
    </row>
    <row r="1447" spans="1:6" x14ac:dyDescent="0.25">
      <c r="A1447" s="4" t="str">
        <f>CONCATENATE("3071-0000-9007","")</f>
        <v>3071-0000-9007</v>
      </c>
      <c r="B1447" s="4" t="s">
        <v>6334</v>
      </c>
      <c r="C1447" s="5">
        <v>41489</v>
      </c>
      <c r="D1447" s="5">
        <v>41549</v>
      </c>
      <c r="E1447" s="4" t="s">
        <v>5185</v>
      </c>
      <c r="F1447" s="4" t="s">
        <v>5292</v>
      </c>
    </row>
    <row r="1448" spans="1:6" x14ac:dyDescent="0.25">
      <c r="A1448" s="4" t="str">
        <f>CONCATENATE("3071-0000-8702","")</f>
        <v>3071-0000-8702</v>
      </c>
      <c r="B1448" s="4" t="s">
        <v>6484</v>
      </c>
      <c r="C1448" s="5">
        <v>41489</v>
      </c>
      <c r="D1448" s="5">
        <v>41549</v>
      </c>
      <c r="E1448" s="4" t="s">
        <v>5185</v>
      </c>
      <c r="F1448" s="4" t="s">
        <v>5292</v>
      </c>
    </row>
    <row r="1449" spans="1:6" x14ac:dyDescent="0.25">
      <c r="A1449" s="4" t="str">
        <f>CONCATENATE("3071-0000-7358","")</f>
        <v>3071-0000-7358</v>
      </c>
      <c r="B1449" s="4" t="s">
        <v>4351</v>
      </c>
      <c r="C1449" s="5">
        <v>41489</v>
      </c>
      <c r="D1449" s="5">
        <v>41549</v>
      </c>
      <c r="E1449" s="4" t="s">
        <v>1410</v>
      </c>
      <c r="F1449" s="4" t="s">
        <v>1410</v>
      </c>
    </row>
    <row r="1450" spans="1:6" x14ac:dyDescent="0.25">
      <c r="A1450" s="4" t="str">
        <f>CONCATENATE("3071-0000-5594","")</f>
        <v>3071-0000-5594</v>
      </c>
      <c r="B1450" s="4" t="s">
        <v>7063</v>
      </c>
      <c r="C1450" s="5">
        <v>41489</v>
      </c>
      <c r="D1450" s="5">
        <v>41549</v>
      </c>
      <c r="E1450" s="4" t="s">
        <v>5185</v>
      </c>
      <c r="F1450" s="4" t="s">
        <v>5185</v>
      </c>
    </row>
    <row r="1451" spans="1:6" x14ac:dyDescent="0.25">
      <c r="A1451" s="4" t="str">
        <f>CONCATENATE("3071-0000-9245","")</f>
        <v>3071-0000-9245</v>
      </c>
      <c r="B1451" s="4" t="s">
        <v>8352</v>
      </c>
      <c r="C1451" s="5">
        <v>41489</v>
      </c>
      <c r="D1451" s="5">
        <v>41549</v>
      </c>
      <c r="E1451" s="4" t="s">
        <v>5185</v>
      </c>
      <c r="F1451" s="4" t="s">
        <v>5185</v>
      </c>
    </row>
    <row r="1452" spans="1:6" x14ac:dyDescent="0.25">
      <c r="A1452" s="4" t="str">
        <f>CONCATENATE("3071-0000-8800","")</f>
        <v>3071-0000-8800</v>
      </c>
      <c r="B1452" s="4" t="s">
        <v>6556</v>
      </c>
      <c r="C1452" s="5">
        <v>41489</v>
      </c>
      <c r="D1452" s="5">
        <v>41549</v>
      </c>
      <c r="E1452" s="4" t="s">
        <v>5185</v>
      </c>
      <c r="F1452" s="4" t="s">
        <v>5292</v>
      </c>
    </row>
    <row r="1453" spans="1:6" x14ac:dyDescent="0.25">
      <c r="A1453" s="4" t="str">
        <f>CONCATENATE("3071-0000-7874","")</f>
        <v>3071-0000-7874</v>
      </c>
      <c r="B1453" s="4" t="s">
        <v>5496</v>
      </c>
      <c r="C1453" s="5">
        <v>41489</v>
      </c>
      <c r="D1453" s="5">
        <v>41549</v>
      </c>
      <c r="E1453" s="4" t="s">
        <v>5185</v>
      </c>
      <c r="F1453" s="4" t="s">
        <v>5185</v>
      </c>
    </row>
    <row r="1454" spans="1:6" x14ac:dyDescent="0.25">
      <c r="A1454" s="4" t="str">
        <f>CONCATENATE("3071-0000-4608","")</f>
        <v>3071-0000-4608</v>
      </c>
      <c r="B1454" s="4" t="s">
        <v>9136</v>
      </c>
      <c r="C1454" s="5">
        <v>41489</v>
      </c>
      <c r="D1454" s="5">
        <v>41549</v>
      </c>
      <c r="E1454" s="4" t="s">
        <v>1410</v>
      </c>
      <c r="F1454" s="4" t="s">
        <v>8696</v>
      </c>
    </row>
    <row r="1455" spans="1:6" x14ac:dyDescent="0.25">
      <c r="A1455" s="4" t="str">
        <f>CONCATENATE("3071-0000-6314","")</f>
        <v>3071-0000-6314</v>
      </c>
      <c r="B1455" s="4" t="s">
        <v>6994</v>
      </c>
      <c r="C1455" s="5">
        <v>41489</v>
      </c>
      <c r="D1455" s="5">
        <v>41549</v>
      </c>
      <c r="E1455" s="4" t="s">
        <v>1410</v>
      </c>
      <c r="F1455" s="4" t="s">
        <v>6798</v>
      </c>
    </row>
    <row r="1456" spans="1:6" x14ac:dyDescent="0.25">
      <c r="A1456" s="4" t="str">
        <f>CONCATENATE("3071-0000-6258","")</f>
        <v>3071-0000-6258</v>
      </c>
      <c r="B1456" s="4" t="s">
        <v>7126</v>
      </c>
      <c r="C1456" s="5">
        <v>41489</v>
      </c>
      <c r="D1456" s="5">
        <v>41549</v>
      </c>
      <c r="E1456" s="4" t="s">
        <v>7069</v>
      </c>
      <c r="F1456" s="4" t="s">
        <v>7120</v>
      </c>
    </row>
    <row r="1457" spans="1:6" x14ac:dyDescent="0.25">
      <c r="A1457" s="4" t="str">
        <f>CONCATENATE("3071-0000-6244","")</f>
        <v>3071-0000-6244</v>
      </c>
      <c r="B1457" s="4" t="s">
        <v>7125</v>
      </c>
      <c r="C1457" s="5">
        <v>41489</v>
      </c>
      <c r="D1457" s="5">
        <v>41549</v>
      </c>
      <c r="E1457" s="4" t="s">
        <v>7069</v>
      </c>
      <c r="F1457" s="4" t="s">
        <v>7120</v>
      </c>
    </row>
    <row r="1458" spans="1:6" x14ac:dyDescent="0.25">
      <c r="A1458" s="4" t="str">
        <f>CONCATENATE("3071-0000-4993","")</f>
        <v>3071-0000-4993</v>
      </c>
      <c r="B1458" s="4" t="s">
        <v>9413</v>
      </c>
      <c r="C1458" s="5">
        <v>41489</v>
      </c>
      <c r="D1458" s="5">
        <v>41549</v>
      </c>
      <c r="E1458" s="4" t="s">
        <v>7069</v>
      </c>
      <c r="F1458" s="4" t="s">
        <v>9210</v>
      </c>
    </row>
    <row r="1459" spans="1:6" x14ac:dyDescent="0.25">
      <c r="A1459" s="4" t="str">
        <f>CONCATENATE("3071-0000-6295","")</f>
        <v>3071-0000-6295</v>
      </c>
      <c r="B1459" s="4" t="s">
        <v>7091</v>
      </c>
      <c r="C1459" s="5">
        <v>41489</v>
      </c>
      <c r="D1459" s="5">
        <v>41549</v>
      </c>
      <c r="E1459" s="4" t="s">
        <v>7069</v>
      </c>
      <c r="F1459" s="4" t="s">
        <v>7070</v>
      </c>
    </row>
    <row r="1460" spans="1:6" x14ac:dyDescent="0.25">
      <c r="A1460" s="4" t="str">
        <f>CONCATENATE("3071-0000-4628","")</f>
        <v>3071-0000-4628</v>
      </c>
      <c r="B1460" s="4" t="s">
        <v>9480</v>
      </c>
      <c r="C1460" s="5">
        <v>41489</v>
      </c>
      <c r="D1460" s="5">
        <v>41549</v>
      </c>
      <c r="E1460" s="4" t="s">
        <v>1410</v>
      </c>
      <c r="F1460" s="4" t="s">
        <v>8696</v>
      </c>
    </row>
    <row r="1461" spans="1:6" x14ac:dyDescent="0.25">
      <c r="A1461" s="4" t="str">
        <f>CONCATENATE("3071-0000-4771","")</f>
        <v>3071-0000-4771</v>
      </c>
      <c r="B1461" s="4" t="s">
        <v>9019</v>
      </c>
      <c r="C1461" s="5">
        <v>41489</v>
      </c>
      <c r="D1461" s="5">
        <v>41549</v>
      </c>
      <c r="E1461" s="4" t="s">
        <v>1410</v>
      </c>
      <c r="F1461" s="4" t="s">
        <v>8696</v>
      </c>
    </row>
    <row r="1462" spans="1:6" x14ac:dyDescent="0.25">
      <c r="A1462" s="4" t="str">
        <f>CONCATENATE("3071-0000-9496","")</f>
        <v>3071-0000-9496</v>
      </c>
      <c r="B1462" s="4" t="s">
        <v>8569</v>
      </c>
      <c r="C1462" s="5">
        <v>41489</v>
      </c>
      <c r="D1462" s="5">
        <v>41549</v>
      </c>
      <c r="E1462" s="4" t="s">
        <v>1410</v>
      </c>
      <c r="F1462" s="4" t="s">
        <v>4459</v>
      </c>
    </row>
    <row r="1463" spans="1:6" x14ac:dyDescent="0.25">
      <c r="A1463" s="4" t="str">
        <f>CONCATENATE("3071-0000-6813","")</f>
        <v>3071-0000-6813</v>
      </c>
      <c r="B1463" s="4" t="s">
        <v>8157</v>
      </c>
      <c r="C1463" s="5">
        <v>41489</v>
      </c>
      <c r="D1463" s="5">
        <v>41549</v>
      </c>
      <c r="E1463" s="4" t="s">
        <v>1410</v>
      </c>
      <c r="F1463" s="4" t="s">
        <v>7967</v>
      </c>
    </row>
    <row r="1464" spans="1:6" x14ac:dyDescent="0.25">
      <c r="A1464" s="4" t="str">
        <f>CONCATENATE("3071-0000-6815","")</f>
        <v>3071-0000-6815</v>
      </c>
      <c r="B1464" s="4" t="s">
        <v>8155</v>
      </c>
      <c r="C1464" s="5">
        <v>41489</v>
      </c>
      <c r="D1464" s="5">
        <v>41549</v>
      </c>
      <c r="E1464" s="4" t="s">
        <v>1410</v>
      </c>
      <c r="F1464" s="4" t="s">
        <v>7967</v>
      </c>
    </row>
    <row r="1465" spans="1:6" x14ac:dyDescent="0.25">
      <c r="A1465" s="4" t="str">
        <f>CONCATENATE("3071-0000-9585","")</f>
        <v>3071-0000-9585</v>
      </c>
      <c r="B1465" s="4" t="s">
        <v>8584</v>
      </c>
      <c r="C1465" s="5">
        <v>41489</v>
      </c>
      <c r="D1465" s="5">
        <v>41549</v>
      </c>
      <c r="E1465" s="4" t="s">
        <v>1410</v>
      </c>
      <c r="F1465" s="4" t="s">
        <v>4459</v>
      </c>
    </row>
    <row r="1466" spans="1:6" x14ac:dyDescent="0.25">
      <c r="A1466" s="4" t="str">
        <f>CONCATENATE("3071-0000-7668","")</f>
        <v>3071-0000-7668</v>
      </c>
      <c r="B1466" s="4" t="s">
        <v>5160</v>
      </c>
      <c r="C1466" s="5">
        <v>41489</v>
      </c>
      <c r="D1466" s="5">
        <v>41549</v>
      </c>
      <c r="E1466" s="4" t="s">
        <v>1410</v>
      </c>
      <c r="F1466" s="4" t="s">
        <v>4616</v>
      </c>
    </row>
    <row r="1467" spans="1:6" x14ac:dyDescent="0.25">
      <c r="A1467" s="4" t="str">
        <f>CONCATENATE("3071-0000-9322","")</f>
        <v>3071-0000-9322</v>
      </c>
      <c r="B1467" s="4" t="s">
        <v>8377</v>
      </c>
      <c r="C1467" s="5">
        <v>41489</v>
      </c>
      <c r="D1467" s="5">
        <v>41549</v>
      </c>
      <c r="E1467" s="4" t="s">
        <v>5185</v>
      </c>
      <c r="F1467" s="4" t="s">
        <v>5185</v>
      </c>
    </row>
    <row r="1468" spans="1:6" x14ac:dyDescent="0.25">
      <c r="A1468" s="4" t="str">
        <f>CONCATENATE("3071-0000-9426","")</f>
        <v>3071-0000-9426</v>
      </c>
      <c r="B1468" s="4" t="s">
        <v>8406</v>
      </c>
      <c r="C1468" s="5">
        <v>41489</v>
      </c>
      <c r="D1468" s="5">
        <v>41549</v>
      </c>
      <c r="E1468" s="4" t="s">
        <v>1410</v>
      </c>
      <c r="F1468" s="4" t="s">
        <v>7967</v>
      </c>
    </row>
    <row r="1469" spans="1:6" x14ac:dyDescent="0.25">
      <c r="A1469" s="4" t="str">
        <f>CONCATENATE("3071-0000-9319","")</f>
        <v>3071-0000-9319</v>
      </c>
      <c r="B1469" s="4" t="s">
        <v>8374</v>
      </c>
      <c r="C1469" s="5">
        <v>41489</v>
      </c>
      <c r="D1469" s="5">
        <v>41549</v>
      </c>
      <c r="E1469" s="4" t="s">
        <v>5185</v>
      </c>
      <c r="F1469" s="4" t="s">
        <v>5185</v>
      </c>
    </row>
    <row r="1470" spans="1:6" x14ac:dyDescent="0.25">
      <c r="A1470" s="4" t="str">
        <f>CONCATENATE("3071-0000-9479","")</f>
        <v>3071-0000-9479</v>
      </c>
      <c r="B1470" s="4" t="s">
        <v>8574</v>
      </c>
      <c r="C1470" s="5">
        <v>41489</v>
      </c>
      <c r="D1470" s="5">
        <v>41549</v>
      </c>
      <c r="E1470" s="4" t="s">
        <v>1410</v>
      </c>
      <c r="F1470" s="4" t="s">
        <v>4459</v>
      </c>
    </row>
    <row r="1471" spans="1:6" x14ac:dyDescent="0.25">
      <c r="A1471" s="4" t="str">
        <f>CONCATENATE("3071-0000-9435","")</f>
        <v>3071-0000-9435</v>
      </c>
      <c r="B1471" s="4" t="s">
        <v>8420</v>
      </c>
      <c r="C1471" s="5">
        <v>41489</v>
      </c>
      <c r="D1471" s="5">
        <v>41549</v>
      </c>
      <c r="E1471" s="4" t="s">
        <v>1410</v>
      </c>
      <c r="F1471" s="4" t="s">
        <v>7967</v>
      </c>
    </row>
    <row r="1472" spans="1:6" x14ac:dyDescent="0.25">
      <c r="A1472" s="4" t="str">
        <f>CONCATENATE("3071-0000-6818","")</f>
        <v>3071-0000-6818</v>
      </c>
      <c r="B1472" s="4" t="s">
        <v>8160</v>
      </c>
      <c r="C1472" s="5">
        <v>41489</v>
      </c>
      <c r="D1472" s="5">
        <v>41549</v>
      </c>
      <c r="E1472" s="4" t="s">
        <v>1410</v>
      </c>
      <c r="F1472" s="4" t="s">
        <v>7967</v>
      </c>
    </row>
    <row r="1473" spans="1:6" x14ac:dyDescent="0.25">
      <c r="A1473" s="4" t="str">
        <f>CONCATENATE("3071-0000-4237","")</f>
        <v>3071-0000-4237</v>
      </c>
      <c r="B1473" s="4" t="s">
        <v>8711</v>
      </c>
      <c r="C1473" s="5">
        <v>41489</v>
      </c>
      <c r="D1473" s="5">
        <v>41549</v>
      </c>
      <c r="E1473" s="4" t="s">
        <v>1410</v>
      </c>
      <c r="F1473" s="4" t="s">
        <v>8696</v>
      </c>
    </row>
    <row r="1474" spans="1:6" x14ac:dyDescent="0.25">
      <c r="A1474" s="4" t="str">
        <f>CONCATENATE("3071-0000-9043","")</f>
        <v>3071-0000-9043</v>
      </c>
      <c r="B1474" s="4" t="s">
        <v>6497</v>
      </c>
      <c r="C1474" s="5">
        <v>41489</v>
      </c>
      <c r="D1474" s="5">
        <v>41549</v>
      </c>
      <c r="E1474" s="4" t="s">
        <v>5185</v>
      </c>
      <c r="F1474" s="4" t="s">
        <v>5292</v>
      </c>
    </row>
    <row r="1475" spans="1:6" x14ac:dyDescent="0.25">
      <c r="A1475" s="4" t="str">
        <f>CONCATENATE("3071-0000-7968","")</f>
        <v>3071-0000-7968</v>
      </c>
      <c r="B1475" s="4" t="s">
        <v>5374</v>
      </c>
      <c r="C1475" s="5">
        <v>41489</v>
      </c>
      <c r="D1475" s="5">
        <v>41549</v>
      </c>
      <c r="E1475" s="4" t="s">
        <v>5185</v>
      </c>
      <c r="F1475" s="4" t="s">
        <v>5185</v>
      </c>
    </row>
    <row r="1476" spans="1:6" x14ac:dyDescent="0.25">
      <c r="A1476" s="4" t="str">
        <f>CONCATENATE("3071-0000-6474","")</f>
        <v>3071-0000-6474</v>
      </c>
      <c r="B1476" s="4" t="s">
        <v>8112</v>
      </c>
      <c r="C1476" s="5">
        <v>41489</v>
      </c>
      <c r="D1476" s="5">
        <v>41549</v>
      </c>
      <c r="E1476" s="4" t="s">
        <v>5185</v>
      </c>
      <c r="F1476" s="4" t="s">
        <v>5185</v>
      </c>
    </row>
    <row r="1477" spans="1:6" x14ac:dyDescent="0.25">
      <c r="A1477" s="4" t="str">
        <f>CONCATENATE("3071-0000-0157","")</f>
        <v>3071-0000-0157</v>
      </c>
      <c r="B1477" s="4" t="s">
        <v>335</v>
      </c>
      <c r="C1477" s="5">
        <v>41489</v>
      </c>
      <c r="D1477" s="5">
        <v>41549</v>
      </c>
      <c r="E1477" s="4" t="s">
        <v>7</v>
      </c>
      <c r="F1477" s="4" t="s">
        <v>7</v>
      </c>
    </row>
    <row r="1478" spans="1:6" x14ac:dyDescent="0.25">
      <c r="A1478" s="4" t="str">
        <f>CONCATENATE("3071-0000-3187","")</f>
        <v>3071-0000-3187</v>
      </c>
      <c r="B1478" s="4" t="s">
        <v>1386</v>
      </c>
      <c r="C1478" s="5">
        <v>41489</v>
      </c>
      <c r="D1478" s="5">
        <v>41549</v>
      </c>
      <c r="E1478" s="4" t="s">
        <v>7</v>
      </c>
      <c r="F1478" s="4" t="s">
        <v>982</v>
      </c>
    </row>
    <row r="1479" spans="1:6" x14ac:dyDescent="0.25">
      <c r="A1479" s="4" t="str">
        <f>CONCATENATE("3071-0000-8965","")</f>
        <v>3071-0000-8965</v>
      </c>
      <c r="B1479" s="4" t="s">
        <v>6265</v>
      </c>
      <c r="C1479" s="5">
        <v>41489</v>
      </c>
      <c r="D1479" s="5">
        <v>41549</v>
      </c>
      <c r="E1479" s="4" t="s">
        <v>5185</v>
      </c>
      <c r="F1479" s="4" t="s">
        <v>6181</v>
      </c>
    </row>
    <row r="1480" spans="1:6" x14ac:dyDescent="0.25">
      <c r="A1480" s="4" t="str">
        <f>CONCATENATE("3071-0000-0036","")</f>
        <v>3071-0000-0036</v>
      </c>
      <c r="B1480" s="4" t="s">
        <v>66</v>
      </c>
      <c r="C1480" s="5">
        <v>41489</v>
      </c>
      <c r="D1480" s="5">
        <v>41549</v>
      </c>
      <c r="E1480" s="4" t="s">
        <v>7</v>
      </c>
      <c r="F1480" s="4" t="s">
        <v>7</v>
      </c>
    </row>
    <row r="1481" spans="1:6" x14ac:dyDescent="0.25">
      <c r="A1481" s="4" t="str">
        <f>CONCATENATE("3071-0000-0522","")</f>
        <v>3071-0000-0522</v>
      </c>
      <c r="B1481" s="4" t="s">
        <v>96</v>
      </c>
      <c r="C1481" s="5">
        <v>41489</v>
      </c>
      <c r="D1481" s="5">
        <v>41549</v>
      </c>
      <c r="E1481" s="4" t="s">
        <v>7</v>
      </c>
      <c r="F1481" s="4" t="s">
        <v>7</v>
      </c>
    </row>
    <row r="1482" spans="1:6" x14ac:dyDescent="0.25">
      <c r="A1482" s="4" t="str">
        <f>CONCATENATE("3071-0000-6628","")</f>
        <v>3071-0000-6628</v>
      </c>
      <c r="B1482" s="4" t="s">
        <v>8223</v>
      </c>
      <c r="C1482" s="5">
        <v>41489</v>
      </c>
      <c r="D1482" s="5">
        <v>41549</v>
      </c>
      <c r="E1482" s="4" t="s">
        <v>5185</v>
      </c>
      <c r="F1482" s="4" t="s">
        <v>5185</v>
      </c>
    </row>
    <row r="1483" spans="1:6" x14ac:dyDescent="0.25">
      <c r="A1483" s="4" t="str">
        <f>CONCATENATE("3071-0000-8239","")</f>
        <v>3071-0000-8239</v>
      </c>
      <c r="B1483" s="4" t="s">
        <v>6204</v>
      </c>
      <c r="C1483" s="5">
        <v>41489</v>
      </c>
      <c r="D1483" s="5">
        <v>41549</v>
      </c>
      <c r="E1483" s="4" t="s">
        <v>5185</v>
      </c>
      <c r="F1483" s="4" t="s">
        <v>5185</v>
      </c>
    </row>
    <row r="1484" spans="1:6" x14ac:dyDescent="0.25">
      <c r="A1484" s="4" t="str">
        <f>CONCATENATE("3071-0000-2256","")</f>
        <v>3071-0000-2256</v>
      </c>
      <c r="B1484" s="4" t="s">
        <v>3493</v>
      </c>
      <c r="C1484" s="5">
        <v>41489</v>
      </c>
      <c r="D1484" s="5">
        <v>41549</v>
      </c>
      <c r="E1484" s="4" t="s">
        <v>2944</v>
      </c>
      <c r="F1484" s="4" t="s">
        <v>2945</v>
      </c>
    </row>
    <row r="1485" spans="1:6" x14ac:dyDescent="0.25">
      <c r="A1485" s="4" t="str">
        <f>CONCATENATE("3071-0000-2690","")</f>
        <v>3071-0000-2690</v>
      </c>
      <c r="B1485" s="4" t="s">
        <v>3456</v>
      </c>
      <c r="C1485" s="5">
        <v>41489</v>
      </c>
      <c r="D1485" s="5">
        <v>41549</v>
      </c>
      <c r="E1485" s="4" t="s">
        <v>2944</v>
      </c>
      <c r="F1485" s="4" t="s">
        <v>3434</v>
      </c>
    </row>
    <row r="1486" spans="1:6" x14ac:dyDescent="0.25">
      <c r="A1486" s="4" t="str">
        <f>CONCATENATE("3071-0000-0659","")</f>
        <v>3071-0000-0659</v>
      </c>
      <c r="B1486" s="4" t="s">
        <v>194</v>
      </c>
      <c r="C1486" s="5">
        <v>41489</v>
      </c>
      <c r="D1486" s="5">
        <v>41549</v>
      </c>
      <c r="E1486" s="4" t="s">
        <v>7</v>
      </c>
      <c r="F1486" s="4" t="s">
        <v>7</v>
      </c>
    </row>
    <row r="1487" spans="1:6" x14ac:dyDescent="0.25">
      <c r="A1487" s="4" t="str">
        <f>CONCATENATE("3071-0000-7899","")</f>
        <v>3071-0000-7899</v>
      </c>
      <c r="B1487" s="4" t="s">
        <v>5540</v>
      </c>
      <c r="C1487" s="5">
        <v>41489</v>
      </c>
      <c r="D1487" s="5">
        <v>41549</v>
      </c>
      <c r="E1487" s="4" t="s">
        <v>5185</v>
      </c>
      <c r="F1487" s="4" t="s">
        <v>5185</v>
      </c>
    </row>
    <row r="1488" spans="1:6" x14ac:dyDescent="0.25">
      <c r="A1488" s="4" t="str">
        <f>CONCATENATE("3071-0000-3678","")</f>
        <v>3071-0000-3678</v>
      </c>
      <c r="B1488" s="4" t="s">
        <v>1604</v>
      </c>
      <c r="C1488" s="5">
        <v>41489</v>
      </c>
      <c r="D1488" s="5">
        <v>41549</v>
      </c>
      <c r="E1488" s="4" t="s">
        <v>1410</v>
      </c>
      <c r="F1488" s="4" t="s">
        <v>1601</v>
      </c>
    </row>
    <row r="1489" spans="1:6" x14ac:dyDescent="0.25">
      <c r="A1489" s="4" t="str">
        <f>CONCATENATE("3071-0000-7788","")</f>
        <v>3071-0000-7788</v>
      </c>
      <c r="B1489" s="4" t="s">
        <v>5191</v>
      </c>
      <c r="C1489" s="5">
        <v>41489</v>
      </c>
      <c r="D1489" s="5">
        <v>41549</v>
      </c>
      <c r="E1489" s="4" t="s">
        <v>5185</v>
      </c>
      <c r="F1489" s="4" t="s">
        <v>5185</v>
      </c>
    </row>
    <row r="1490" spans="1:6" x14ac:dyDescent="0.25">
      <c r="A1490" s="4" t="str">
        <f>CONCATENATE("3071-0000-6428","")</f>
        <v>3071-0000-6428</v>
      </c>
      <c r="B1490" s="4" t="s">
        <v>8133</v>
      </c>
      <c r="C1490" s="5">
        <v>41489</v>
      </c>
      <c r="D1490" s="5">
        <v>41549</v>
      </c>
      <c r="E1490" s="4" t="s">
        <v>5185</v>
      </c>
      <c r="F1490" s="4" t="s">
        <v>5185</v>
      </c>
    </row>
    <row r="1491" spans="1:6" x14ac:dyDescent="0.25">
      <c r="A1491" s="4" t="str">
        <f>CONCATENATE("3071-0000-6539","")</f>
        <v>3071-0000-6539</v>
      </c>
      <c r="B1491" s="4" t="s">
        <v>7968</v>
      </c>
      <c r="C1491" s="5">
        <v>41489</v>
      </c>
      <c r="D1491" s="5">
        <v>41549</v>
      </c>
      <c r="E1491" s="4" t="s">
        <v>5185</v>
      </c>
      <c r="F1491" s="4" t="s">
        <v>5185</v>
      </c>
    </row>
    <row r="1492" spans="1:6" x14ac:dyDescent="0.25">
      <c r="A1492" s="4" t="str">
        <f>CONCATENATE("3071-0000-2235","")</f>
        <v>3071-0000-2235</v>
      </c>
      <c r="B1492" s="4" t="s">
        <v>3032</v>
      </c>
      <c r="C1492" s="5">
        <v>41489</v>
      </c>
      <c r="D1492" s="5">
        <v>41549</v>
      </c>
      <c r="E1492" s="4" t="s">
        <v>2944</v>
      </c>
      <c r="F1492" s="4" t="s">
        <v>2945</v>
      </c>
    </row>
    <row r="1493" spans="1:6" x14ac:dyDescent="0.25">
      <c r="A1493" s="4" t="str">
        <f>CONCATENATE("3071-0000-6422","")</f>
        <v>3071-0000-6422</v>
      </c>
      <c r="B1493" s="4" t="s">
        <v>8128</v>
      </c>
      <c r="C1493" s="5">
        <v>41489</v>
      </c>
      <c r="D1493" s="5">
        <v>41549</v>
      </c>
      <c r="E1493" s="4" t="s">
        <v>5185</v>
      </c>
      <c r="F1493" s="4" t="s">
        <v>5185</v>
      </c>
    </row>
    <row r="1494" spans="1:6" x14ac:dyDescent="0.25">
      <c r="A1494" s="4" t="str">
        <f>CONCATENATE("3071-0000-7794","")</f>
        <v>3071-0000-7794</v>
      </c>
      <c r="B1494" s="4" t="s">
        <v>5200</v>
      </c>
      <c r="C1494" s="5">
        <v>41489</v>
      </c>
      <c r="D1494" s="5">
        <v>41549</v>
      </c>
      <c r="E1494" s="4" t="s">
        <v>5185</v>
      </c>
      <c r="F1494" s="4" t="s">
        <v>5185</v>
      </c>
    </row>
    <row r="1495" spans="1:6" x14ac:dyDescent="0.25">
      <c r="A1495" s="4" t="str">
        <f>CONCATENATE("3071-0000-6415","")</f>
        <v>3071-0000-6415</v>
      </c>
      <c r="B1495" s="4" t="s">
        <v>8078</v>
      </c>
      <c r="C1495" s="5">
        <v>41489</v>
      </c>
      <c r="D1495" s="5">
        <v>41549</v>
      </c>
      <c r="E1495" s="4" t="s">
        <v>5185</v>
      </c>
      <c r="F1495" s="4" t="s">
        <v>5185</v>
      </c>
    </row>
    <row r="1496" spans="1:6" x14ac:dyDescent="0.25">
      <c r="A1496" s="4" t="str">
        <f>CONCATENATE("3071-0000-8961","")</f>
        <v>3071-0000-8961</v>
      </c>
      <c r="B1496" s="4" t="s">
        <v>6286</v>
      </c>
      <c r="C1496" s="5">
        <v>41489</v>
      </c>
      <c r="D1496" s="5">
        <v>41549</v>
      </c>
      <c r="E1496" s="4" t="s">
        <v>5185</v>
      </c>
      <c r="F1496" s="4" t="s">
        <v>6181</v>
      </c>
    </row>
    <row r="1497" spans="1:6" x14ac:dyDescent="0.25">
      <c r="A1497" s="4" t="str">
        <f>CONCATENATE("3071-0000-1974","")</f>
        <v>3071-0000-1974</v>
      </c>
      <c r="B1497" s="4" t="s">
        <v>3106</v>
      </c>
      <c r="C1497" s="5">
        <v>41489</v>
      </c>
      <c r="D1497" s="5">
        <v>41549</v>
      </c>
      <c r="E1497" s="4" t="s">
        <v>2944</v>
      </c>
      <c r="F1497" s="4" t="s">
        <v>2945</v>
      </c>
    </row>
    <row r="1498" spans="1:6" x14ac:dyDescent="0.25">
      <c r="A1498" s="4" t="str">
        <f>CONCATENATE("3071-0000-8204","")</f>
        <v>3071-0000-8204</v>
      </c>
      <c r="B1498" s="4" t="s">
        <v>5199</v>
      </c>
      <c r="C1498" s="5">
        <v>41489</v>
      </c>
      <c r="D1498" s="5">
        <v>41549</v>
      </c>
      <c r="E1498" s="4" t="s">
        <v>5185</v>
      </c>
      <c r="F1498" s="4" t="s">
        <v>5185</v>
      </c>
    </row>
    <row r="1499" spans="1:6" x14ac:dyDescent="0.25">
      <c r="A1499" s="4" t="str">
        <f>CONCATENATE("3071-0000-7661","")</f>
        <v>3071-0000-7661</v>
      </c>
      <c r="B1499" s="4" t="s">
        <v>4879</v>
      </c>
      <c r="C1499" s="5">
        <v>41489</v>
      </c>
      <c r="D1499" s="5">
        <v>41549</v>
      </c>
      <c r="E1499" s="4" t="s">
        <v>1410</v>
      </c>
      <c r="F1499" s="4" t="s">
        <v>4655</v>
      </c>
    </row>
    <row r="1500" spans="1:6" x14ac:dyDescent="0.25">
      <c r="A1500" s="4" t="str">
        <f>CONCATENATE("3071-0000-8581","")</f>
        <v>3071-0000-8581</v>
      </c>
      <c r="B1500" s="4" t="s">
        <v>5544</v>
      </c>
      <c r="C1500" s="5">
        <v>41489</v>
      </c>
      <c r="D1500" s="5">
        <v>41549</v>
      </c>
      <c r="E1500" s="4" t="s">
        <v>5185</v>
      </c>
      <c r="F1500" s="4" t="s">
        <v>5250</v>
      </c>
    </row>
    <row r="1501" spans="1:6" x14ac:dyDescent="0.25">
      <c r="A1501" s="4" t="str">
        <f>CONCATENATE("3071-0000-0466","")</f>
        <v>3071-0000-0466</v>
      </c>
      <c r="B1501" s="4" t="s">
        <v>545</v>
      </c>
      <c r="C1501" s="5">
        <v>41489</v>
      </c>
      <c r="D1501" s="5">
        <v>41549</v>
      </c>
      <c r="E1501" s="4" t="s">
        <v>7</v>
      </c>
      <c r="F1501" s="4" t="s">
        <v>273</v>
      </c>
    </row>
    <row r="1502" spans="1:6" x14ac:dyDescent="0.25">
      <c r="A1502" s="4" t="str">
        <f>CONCATENATE("3071-0000-2620","")</f>
        <v>3071-0000-2620</v>
      </c>
      <c r="B1502" s="4" t="s">
        <v>3126</v>
      </c>
      <c r="C1502" s="5">
        <v>41489</v>
      </c>
      <c r="D1502" s="5">
        <v>41549</v>
      </c>
      <c r="E1502" s="4" t="s">
        <v>2944</v>
      </c>
      <c r="F1502" s="4" t="s">
        <v>3115</v>
      </c>
    </row>
    <row r="1503" spans="1:6" x14ac:dyDescent="0.25">
      <c r="A1503" s="4" t="str">
        <f>CONCATENATE("3071-0000-0202","")</f>
        <v>3071-0000-0202</v>
      </c>
      <c r="B1503" s="4" t="s">
        <v>437</v>
      </c>
      <c r="C1503" s="5">
        <v>41489</v>
      </c>
      <c r="D1503" s="5">
        <v>41549</v>
      </c>
      <c r="E1503" s="4" t="s">
        <v>7</v>
      </c>
      <c r="F1503" s="4" t="s">
        <v>7</v>
      </c>
    </row>
    <row r="1504" spans="1:6" x14ac:dyDescent="0.25">
      <c r="A1504" s="4" t="str">
        <f>CONCATENATE("3071-0000-1339","")</f>
        <v>3071-0000-1339</v>
      </c>
      <c r="B1504" s="4" t="s">
        <v>2472</v>
      </c>
      <c r="C1504" s="5">
        <v>41489</v>
      </c>
      <c r="D1504" s="5">
        <v>41549</v>
      </c>
      <c r="E1504" s="4" t="s">
        <v>1381</v>
      </c>
      <c r="F1504" s="4" t="s">
        <v>2303</v>
      </c>
    </row>
    <row r="1505" spans="1:6" x14ac:dyDescent="0.25">
      <c r="A1505" s="4" t="str">
        <f>CONCATENATE("3071-0000-8895","")</f>
        <v>3071-0000-8895</v>
      </c>
      <c r="B1505" s="4" t="s">
        <v>5241</v>
      </c>
      <c r="C1505" s="5">
        <v>41489</v>
      </c>
      <c r="D1505" s="5">
        <v>41549</v>
      </c>
      <c r="E1505" s="4" t="s">
        <v>5185</v>
      </c>
      <c r="F1505" s="4" t="s">
        <v>5185</v>
      </c>
    </row>
    <row r="1506" spans="1:6" x14ac:dyDescent="0.25">
      <c r="A1506" s="4" t="str">
        <f>CONCATENATE("3071-0000-5765","")</f>
        <v>3071-0000-5765</v>
      </c>
      <c r="B1506" s="4" t="s">
        <v>7017</v>
      </c>
      <c r="C1506" s="5">
        <v>41489</v>
      </c>
      <c r="D1506" s="5">
        <v>41549</v>
      </c>
      <c r="E1506" s="4" t="s">
        <v>5185</v>
      </c>
      <c r="F1506" s="4" t="s">
        <v>5185</v>
      </c>
    </row>
    <row r="1507" spans="1:6" x14ac:dyDescent="0.25">
      <c r="A1507" s="4" t="str">
        <f>CONCATENATE("3071-0000-5787","")</f>
        <v>3071-0000-5787</v>
      </c>
      <c r="B1507" s="4" t="s">
        <v>7029</v>
      </c>
      <c r="C1507" s="5">
        <v>41489</v>
      </c>
      <c r="D1507" s="5">
        <v>41549</v>
      </c>
      <c r="E1507" s="4" t="s">
        <v>5185</v>
      </c>
      <c r="F1507" s="4" t="s">
        <v>5185</v>
      </c>
    </row>
    <row r="1508" spans="1:6" x14ac:dyDescent="0.25">
      <c r="A1508" s="4" t="str">
        <f>CONCATENATE("3071-0000-7449","")</f>
        <v>3071-0000-7449</v>
      </c>
      <c r="B1508" s="4" t="s">
        <v>4599</v>
      </c>
      <c r="C1508" s="5">
        <v>41489</v>
      </c>
      <c r="D1508" s="5">
        <v>41549</v>
      </c>
      <c r="E1508" s="4" t="s">
        <v>1410</v>
      </c>
      <c r="F1508" s="4" t="s">
        <v>1410</v>
      </c>
    </row>
    <row r="1509" spans="1:6" x14ac:dyDescent="0.25">
      <c r="A1509" s="4" t="str">
        <f>CONCATENATE("3071-0000-5735","")</f>
        <v>3071-0000-5735</v>
      </c>
      <c r="B1509" s="4" t="s">
        <v>7459</v>
      </c>
      <c r="C1509" s="5">
        <v>41489</v>
      </c>
      <c r="D1509" s="5">
        <v>41549</v>
      </c>
      <c r="E1509" s="4" t="s">
        <v>5185</v>
      </c>
      <c r="F1509" s="4" t="s">
        <v>5185</v>
      </c>
    </row>
    <row r="1510" spans="1:6" x14ac:dyDescent="0.25">
      <c r="A1510" s="4" t="str">
        <f>CONCATENATE("3071-0000-6872","")</f>
        <v>3071-0000-6872</v>
      </c>
      <c r="B1510" s="4" t="s">
        <v>5061</v>
      </c>
      <c r="C1510" s="5">
        <v>41489</v>
      </c>
      <c r="D1510" s="5">
        <v>41549</v>
      </c>
      <c r="E1510" s="4" t="s">
        <v>1410</v>
      </c>
      <c r="F1510" s="4" t="s">
        <v>4616</v>
      </c>
    </row>
    <row r="1511" spans="1:6" x14ac:dyDescent="0.25">
      <c r="A1511" s="4" t="str">
        <f>CONCATENATE("3071-0000-5916","")</f>
        <v>3071-0000-5916</v>
      </c>
      <c r="B1511" s="4" t="s">
        <v>7148</v>
      </c>
      <c r="C1511" s="5">
        <v>41489</v>
      </c>
      <c r="D1511" s="5">
        <v>41549</v>
      </c>
      <c r="E1511" s="4" t="s">
        <v>5185</v>
      </c>
      <c r="F1511" s="4" t="s">
        <v>5185</v>
      </c>
    </row>
    <row r="1512" spans="1:6" x14ac:dyDescent="0.25">
      <c r="A1512" s="4" t="str">
        <f>CONCATENATE("3071-0000-3550","")</f>
        <v>3071-0000-3550</v>
      </c>
      <c r="B1512" s="4" t="s">
        <v>1687</v>
      </c>
      <c r="C1512" s="5">
        <v>41489</v>
      </c>
      <c r="D1512" s="5">
        <v>41549</v>
      </c>
      <c r="E1512" s="4" t="s">
        <v>1410</v>
      </c>
      <c r="F1512" s="4" t="s">
        <v>1411</v>
      </c>
    </row>
    <row r="1513" spans="1:6" x14ac:dyDescent="0.25">
      <c r="A1513" s="4" t="str">
        <f>CONCATENATE("3071-0000-4770","")</f>
        <v>3071-0000-4770</v>
      </c>
      <c r="B1513" s="4" t="s">
        <v>9050</v>
      </c>
      <c r="C1513" s="5">
        <v>41489</v>
      </c>
      <c r="D1513" s="5">
        <v>41549</v>
      </c>
      <c r="E1513" s="4" t="s">
        <v>1410</v>
      </c>
      <c r="F1513" s="4" t="s">
        <v>8696</v>
      </c>
    </row>
    <row r="1514" spans="1:6" x14ac:dyDescent="0.25">
      <c r="A1514" s="4" t="str">
        <f>CONCATENATE("3071-0000-4769","")</f>
        <v>3071-0000-4769</v>
      </c>
      <c r="B1514" s="4" t="s">
        <v>9041</v>
      </c>
      <c r="C1514" s="5">
        <v>41489</v>
      </c>
      <c r="D1514" s="5">
        <v>41549</v>
      </c>
      <c r="E1514" s="4" t="s">
        <v>1410</v>
      </c>
      <c r="F1514" s="4" t="s">
        <v>8696</v>
      </c>
    </row>
    <row r="1515" spans="1:6" x14ac:dyDescent="0.25">
      <c r="A1515" s="4" t="str">
        <f>CONCATENATE("3071-0000-6041","")</f>
        <v>3071-0000-6041</v>
      </c>
      <c r="B1515" s="4" t="s">
        <v>6997</v>
      </c>
      <c r="C1515" s="5">
        <v>41489</v>
      </c>
      <c r="D1515" s="5">
        <v>41549</v>
      </c>
      <c r="E1515" s="4" t="s">
        <v>1410</v>
      </c>
      <c r="F1515" s="4" t="s">
        <v>6798</v>
      </c>
    </row>
    <row r="1516" spans="1:6" x14ac:dyDescent="0.25">
      <c r="A1516" s="4" t="str">
        <f>CONCATENATE("3071-0000-7343","")</f>
        <v>3071-0000-7343</v>
      </c>
      <c r="B1516" s="4" t="s">
        <v>4990</v>
      </c>
      <c r="C1516" s="5">
        <v>41489</v>
      </c>
      <c r="D1516" s="5">
        <v>41549</v>
      </c>
      <c r="E1516" s="4" t="s">
        <v>1410</v>
      </c>
      <c r="F1516" s="4" t="s">
        <v>1410</v>
      </c>
    </row>
    <row r="1517" spans="1:6" x14ac:dyDescent="0.25">
      <c r="A1517" s="4" t="str">
        <f>CONCATENATE("3071-0000-7409","")</f>
        <v>3071-0000-7409</v>
      </c>
      <c r="B1517" s="4" t="s">
        <v>4753</v>
      </c>
      <c r="C1517" s="5">
        <v>41489</v>
      </c>
      <c r="D1517" s="5">
        <v>41549</v>
      </c>
      <c r="E1517" s="4" t="s">
        <v>1410</v>
      </c>
      <c r="F1517" s="4" t="s">
        <v>1410</v>
      </c>
    </row>
    <row r="1518" spans="1:6" x14ac:dyDescent="0.25">
      <c r="A1518" s="4" t="str">
        <f>CONCATENATE("3071-0000-3761","")</f>
        <v>3071-0000-3761</v>
      </c>
      <c r="B1518" s="4" t="s">
        <v>1619</v>
      </c>
      <c r="C1518" s="5">
        <v>41489</v>
      </c>
      <c r="D1518" s="5">
        <v>41549</v>
      </c>
      <c r="E1518" s="4" t="s">
        <v>1410</v>
      </c>
      <c r="F1518" s="4" t="s">
        <v>1613</v>
      </c>
    </row>
    <row r="1519" spans="1:6" x14ac:dyDescent="0.25">
      <c r="A1519" s="4" t="str">
        <f>CONCATENATE("3071-0000-2362","")</f>
        <v>3071-0000-2362</v>
      </c>
      <c r="B1519" s="4" t="s">
        <v>3056</v>
      </c>
      <c r="C1519" s="5">
        <v>41489</v>
      </c>
      <c r="D1519" s="5">
        <v>41549</v>
      </c>
      <c r="E1519" s="4" t="s">
        <v>2944</v>
      </c>
      <c r="F1519" s="4" t="s">
        <v>2945</v>
      </c>
    </row>
    <row r="1520" spans="1:6" x14ac:dyDescent="0.25">
      <c r="A1520" s="4" t="str">
        <f>CONCATENATE("3071-0000-3601","")</f>
        <v>3071-0000-3601</v>
      </c>
      <c r="B1520" s="4" t="s">
        <v>1480</v>
      </c>
      <c r="C1520" s="5">
        <v>41489</v>
      </c>
      <c r="D1520" s="5">
        <v>41549</v>
      </c>
      <c r="E1520" s="4" t="s">
        <v>1410</v>
      </c>
      <c r="F1520" s="4" t="s">
        <v>1411</v>
      </c>
    </row>
    <row r="1521" spans="1:6" x14ac:dyDescent="0.25">
      <c r="A1521" s="4" t="str">
        <f>CONCATENATE("3071-0000-4627","")</f>
        <v>3071-0000-4627</v>
      </c>
      <c r="B1521" s="4" t="s">
        <v>9479</v>
      </c>
      <c r="C1521" s="5">
        <v>41489</v>
      </c>
      <c r="D1521" s="5">
        <v>41549</v>
      </c>
      <c r="E1521" s="4" t="s">
        <v>1410</v>
      </c>
      <c r="F1521" s="4" t="s">
        <v>8696</v>
      </c>
    </row>
    <row r="1522" spans="1:6" x14ac:dyDescent="0.25">
      <c r="A1522" s="4" t="str">
        <f>CONCATENATE("3071-0000-6609","")</f>
        <v>3071-0000-6609</v>
      </c>
      <c r="B1522" s="4" t="s">
        <v>8019</v>
      </c>
      <c r="C1522" s="5">
        <v>41489</v>
      </c>
      <c r="D1522" s="5">
        <v>41549</v>
      </c>
      <c r="E1522" s="4" t="s">
        <v>5185</v>
      </c>
      <c r="F1522" s="4" t="s">
        <v>5185</v>
      </c>
    </row>
    <row r="1523" spans="1:6" x14ac:dyDescent="0.25">
      <c r="A1523" s="4" t="str">
        <f>CONCATENATE("3071-0000-5586","")</f>
        <v>3071-0000-5586</v>
      </c>
      <c r="B1523" s="4" t="s">
        <v>7055</v>
      </c>
      <c r="C1523" s="5">
        <v>41489</v>
      </c>
      <c r="D1523" s="5">
        <v>41549</v>
      </c>
      <c r="E1523" s="4" t="s">
        <v>5185</v>
      </c>
      <c r="F1523" s="4" t="s">
        <v>5185</v>
      </c>
    </row>
    <row r="1524" spans="1:6" x14ac:dyDescent="0.25">
      <c r="A1524" s="4" t="str">
        <f>CONCATENATE("3071-0000-4528","")</f>
        <v>3071-0000-4528</v>
      </c>
      <c r="B1524" s="4" t="s">
        <v>9545</v>
      </c>
      <c r="C1524" s="5">
        <v>41489</v>
      </c>
      <c r="D1524" s="5">
        <v>41549</v>
      </c>
      <c r="E1524" s="4" t="s">
        <v>1410</v>
      </c>
      <c r="F1524" s="4" t="s">
        <v>8696</v>
      </c>
    </row>
    <row r="1525" spans="1:6" x14ac:dyDescent="0.25">
      <c r="A1525" s="4" t="str">
        <f>CONCATENATE("3071-0000-4358","")</f>
        <v>3071-0000-4358</v>
      </c>
      <c r="B1525" s="4" t="s">
        <v>9435</v>
      </c>
      <c r="C1525" s="5">
        <v>41489</v>
      </c>
      <c r="D1525" s="5">
        <v>41549</v>
      </c>
      <c r="E1525" s="4" t="s">
        <v>7069</v>
      </c>
      <c r="F1525" s="4" t="s">
        <v>9210</v>
      </c>
    </row>
    <row r="1526" spans="1:6" x14ac:dyDescent="0.25">
      <c r="A1526" s="4" t="str">
        <f>CONCATENATE("3071-0000-7318","")</f>
        <v>3071-0000-7318</v>
      </c>
      <c r="B1526" s="4" t="s">
        <v>5105</v>
      </c>
      <c r="C1526" s="5">
        <v>41489</v>
      </c>
      <c r="D1526" s="5">
        <v>41549</v>
      </c>
      <c r="E1526" s="4" t="s">
        <v>1410</v>
      </c>
      <c r="F1526" s="4" t="s">
        <v>1410</v>
      </c>
    </row>
    <row r="1527" spans="1:6" x14ac:dyDescent="0.25">
      <c r="A1527" s="4" t="str">
        <f>CONCATENATE("3071-0000-5269","")</f>
        <v>3071-0000-5269</v>
      </c>
      <c r="B1527" s="4" t="s">
        <v>6770</v>
      </c>
      <c r="C1527" s="5">
        <v>41489</v>
      </c>
      <c r="D1527" s="5">
        <v>41549</v>
      </c>
      <c r="E1527" s="4" t="s">
        <v>5185</v>
      </c>
      <c r="F1527" s="4" t="s">
        <v>5185</v>
      </c>
    </row>
    <row r="1528" spans="1:6" x14ac:dyDescent="0.25">
      <c r="A1528" s="4" t="str">
        <f>CONCATENATE("3071-0000-5270","")</f>
        <v>3071-0000-5270</v>
      </c>
      <c r="B1528" s="4" t="s">
        <v>6777</v>
      </c>
      <c r="C1528" s="5">
        <v>41489</v>
      </c>
      <c r="D1528" s="5">
        <v>41549</v>
      </c>
      <c r="E1528" s="4" t="s">
        <v>5185</v>
      </c>
      <c r="F1528" s="4" t="s">
        <v>5185</v>
      </c>
    </row>
    <row r="1529" spans="1:6" x14ac:dyDescent="0.25">
      <c r="A1529" s="4" t="str">
        <f>CONCATENATE("3071-0000-9362","")</f>
        <v>3071-0000-9362</v>
      </c>
      <c r="B1529" s="4" t="s">
        <v>8296</v>
      </c>
      <c r="C1529" s="5">
        <v>41489</v>
      </c>
      <c r="D1529" s="5">
        <v>41549</v>
      </c>
      <c r="E1529" s="4" t="s">
        <v>1410</v>
      </c>
      <c r="F1529" s="4" t="s">
        <v>7967</v>
      </c>
    </row>
    <row r="1530" spans="1:6" x14ac:dyDescent="0.25">
      <c r="A1530" s="4" t="str">
        <f>CONCATENATE("3071-0000-6625","")</f>
        <v>3071-0000-6625</v>
      </c>
      <c r="B1530" s="4" t="s">
        <v>8193</v>
      </c>
      <c r="C1530" s="5">
        <v>41489</v>
      </c>
      <c r="D1530" s="5">
        <v>41549</v>
      </c>
      <c r="E1530" s="4" t="s">
        <v>5185</v>
      </c>
      <c r="F1530" s="4" t="s">
        <v>5185</v>
      </c>
    </row>
    <row r="1531" spans="1:6" x14ac:dyDescent="0.25">
      <c r="A1531" s="4" t="str">
        <f>CONCATENATE("3071-0000-6726","")</f>
        <v>3071-0000-6726</v>
      </c>
      <c r="B1531" s="4" t="s">
        <v>8168</v>
      </c>
      <c r="C1531" s="5">
        <v>41489</v>
      </c>
      <c r="D1531" s="5">
        <v>41549</v>
      </c>
      <c r="E1531" s="4" t="s">
        <v>5185</v>
      </c>
      <c r="F1531" s="4" t="s">
        <v>5185</v>
      </c>
    </row>
    <row r="1532" spans="1:6" x14ac:dyDescent="0.25">
      <c r="A1532" s="4" t="str">
        <f>CONCATENATE("3071-0000-7708","")</f>
        <v>3071-0000-7708</v>
      </c>
      <c r="B1532" s="4" t="s">
        <v>4665</v>
      </c>
      <c r="C1532" s="5">
        <v>41489</v>
      </c>
      <c r="D1532" s="5">
        <v>41549</v>
      </c>
      <c r="E1532" s="4" t="s">
        <v>1410</v>
      </c>
      <c r="F1532" s="4" t="s">
        <v>4655</v>
      </c>
    </row>
    <row r="1533" spans="1:6" x14ac:dyDescent="0.25">
      <c r="A1533" s="4" t="str">
        <f>CONCATENATE("3071-0000-3383","")</f>
        <v>3071-0000-3383</v>
      </c>
      <c r="B1533" s="4" t="s">
        <v>1527</v>
      </c>
      <c r="C1533" s="5">
        <v>41489</v>
      </c>
      <c r="D1533" s="5">
        <v>41549</v>
      </c>
      <c r="E1533" s="4" t="s">
        <v>1410</v>
      </c>
      <c r="F1533" s="4" t="s">
        <v>1411</v>
      </c>
    </row>
    <row r="1534" spans="1:6" x14ac:dyDescent="0.25">
      <c r="A1534" s="4" t="str">
        <f>CONCATENATE("3071-0000-7404","")</f>
        <v>3071-0000-7404</v>
      </c>
      <c r="B1534" s="4" t="s">
        <v>4687</v>
      </c>
      <c r="C1534" s="5">
        <v>41489</v>
      </c>
      <c r="D1534" s="5">
        <v>41549</v>
      </c>
      <c r="E1534" s="4" t="s">
        <v>1410</v>
      </c>
      <c r="F1534" s="4" t="s">
        <v>1410</v>
      </c>
    </row>
    <row r="1535" spans="1:6" x14ac:dyDescent="0.25">
      <c r="A1535" s="4" t="str">
        <f>CONCATENATE("3071-0000-8934","")</f>
        <v>3071-0000-8934</v>
      </c>
      <c r="B1535" s="4" t="s">
        <v>5341</v>
      </c>
      <c r="C1535" s="5">
        <v>41489</v>
      </c>
      <c r="D1535" s="5">
        <v>41549</v>
      </c>
      <c r="E1535" s="4" t="s">
        <v>1410</v>
      </c>
      <c r="F1535" s="4" t="s">
        <v>4616</v>
      </c>
    </row>
    <row r="1536" spans="1:6" x14ac:dyDescent="0.25">
      <c r="A1536" s="4" t="str">
        <f>CONCATENATE("3071-0000-5775","")</f>
        <v>3071-0000-5775</v>
      </c>
      <c r="B1536" s="4" t="s">
        <v>7011</v>
      </c>
      <c r="C1536" s="5">
        <v>41489</v>
      </c>
      <c r="D1536" s="5">
        <v>41549</v>
      </c>
      <c r="E1536" s="4" t="s">
        <v>5185</v>
      </c>
      <c r="F1536" s="4" t="s">
        <v>5185</v>
      </c>
    </row>
    <row r="1537" spans="1:6" x14ac:dyDescent="0.25">
      <c r="A1537" s="4" t="str">
        <f>CONCATENATE("3071-0000-8333","")</f>
        <v>3071-0000-8333</v>
      </c>
      <c r="B1537" s="4" t="s">
        <v>5862</v>
      </c>
      <c r="C1537" s="5">
        <v>41489</v>
      </c>
      <c r="D1537" s="5">
        <v>41549</v>
      </c>
      <c r="E1537" s="4" t="s">
        <v>5185</v>
      </c>
      <c r="F1537" s="4" t="s">
        <v>5185</v>
      </c>
    </row>
    <row r="1538" spans="1:6" x14ac:dyDescent="0.25">
      <c r="A1538" s="4" t="str">
        <f>CONCATENATE("3071-0000-6716","")</f>
        <v>3071-0000-6716</v>
      </c>
      <c r="B1538" s="4" t="s">
        <v>8179</v>
      </c>
      <c r="C1538" s="5">
        <v>41489</v>
      </c>
      <c r="D1538" s="5">
        <v>41549</v>
      </c>
      <c r="E1538" s="4" t="s">
        <v>5185</v>
      </c>
      <c r="F1538" s="4" t="s">
        <v>5185</v>
      </c>
    </row>
    <row r="1539" spans="1:6" x14ac:dyDescent="0.25">
      <c r="A1539" s="4" t="str">
        <f>CONCATENATE("3071-0000-6711","")</f>
        <v>3071-0000-6711</v>
      </c>
      <c r="B1539" s="4" t="s">
        <v>8167</v>
      </c>
      <c r="C1539" s="5">
        <v>41489</v>
      </c>
      <c r="D1539" s="5">
        <v>41549</v>
      </c>
      <c r="E1539" s="4" t="s">
        <v>5185</v>
      </c>
      <c r="F1539" s="4" t="s">
        <v>5185</v>
      </c>
    </row>
    <row r="1540" spans="1:6" x14ac:dyDescent="0.25">
      <c r="A1540" s="4" t="str">
        <f>CONCATENATE("3071-0000-3337","")</f>
        <v>3071-0000-3337</v>
      </c>
      <c r="B1540" s="4" t="s">
        <v>1849</v>
      </c>
      <c r="C1540" s="5">
        <v>41489</v>
      </c>
      <c r="D1540" s="5">
        <v>41549</v>
      </c>
      <c r="E1540" s="4" t="s">
        <v>1410</v>
      </c>
      <c r="F1540" s="4" t="s">
        <v>1411</v>
      </c>
    </row>
    <row r="1541" spans="1:6" x14ac:dyDescent="0.25">
      <c r="A1541" s="4" t="str">
        <f>CONCATENATE("3071-0000-6856","")</f>
        <v>3071-0000-6856</v>
      </c>
      <c r="B1541" s="4" t="s">
        <v>8051</v>
      </c>
      <c r="C1541" s="5">
        <v>41489</v>
      </c>
      <c r="D1541" s="5">
        <v>41549</v>
      </c>
      <c r="E1541" s="4" t="s">
        <v>1410</v>
      </c>
      <c r="F1541" s="4" t="s">
        <v>1410</v>
      </c>
    </row>
    <row r="1542" spans="1:6" x14ac:dyDescent="0.25">
      <c r="A1542" s="4" t="str">
        <f>CONCATENATE("3071-0000-7151","")</f>
        <v>3071-0000-7151</v>
      </c>
      <c r="B1542" s="4" t="s">
        <v>4993</v>
      </c>
      <c r="C1542" s="5">
        <v>41489</v>
      </c>
      <c r="D1542" s="5">
        <v>41549</v>
      </c>
      <c r="E1542" s="4" t="s">
        <v>1410</v>
      </c>
      <c r="F1542" s="4" t="s">
        <v>1410</v>
      </c>
    </row>
    <row r="1543" spans="1:6" x14ac:dyDescent="0.25">
      <c r="A1543" s="4" t="str">
        <f>CONCATENATE("3071-0000-3648","")</f>
        <v>3071-0000-3648</v>
      </c>
      <c r="B1543" s="4" t="s">
        <v>1460</v>
      </c>
      <c r="C1543" s="5">
        <v>41489</v>
      </c>
      <c r="D1543" s="5">
        <v>41549</v>
      </c>
      <c r="E1543" s="4" t="s">
        <v>1410</v>
      </c>
      <c r="F1543" s="4" t="s">
        <v>1411</v>
      </c>
    </row>
    <row r="1544" spans="1:6" x14ac:dyDescent="0.25">
      <c r="A1544" s="4" t="str">
        <f>CONCATENATE("3071-0000-9011","")</f>
        <v>3071-0000-9011</v>
      </c>
      <c r="B1544" s="4" t="s">
        <v>6557</v>
      </c>
      <c r="C1544" s="5">
        <v>41489</v>
      </c>
      <c r="D1544" s="5">
        <v>41549</v>
      </c>
      <c r="E1544" s="4" t="s">
        <v>5185</v>
      </c>
      <c r="F1544" s="4" t="s">
        <v>5292</v>
      </c>
    </row>
    <row r="1545" spans="1:6" x14ac:dyDescent="0.25">
      <c r="A1545" s="4" t="str">
        <f>CONCATENATE("3071-0000-5266","")</f>
        <v>3071-0000-5266</v>
      </c>
      <c r="B1545" s="4" t="s">
        <v>6740</v>
      </c>
      <c r="C1545" s="5">
        <v>41489</v>
      </c>
      <c r="D1545" s="5">
        <v>41549</v>
      </c>
      <c r="E1545" s="4" t="s">
        <v>5185</v>
      </c>
      <c r="F1545" s="4" t="s">
        <v>5185</v>
      </c>
    </row>
    <row r="1546" spans="1:6" x14ac:dyDescent="0.25">
      <c r="A1546" s="4" t="str">
        <f>CONCATENATE("3071-0000-3759","")</f>
        <v>3071-0000-3759</v>
      </c>
      <c r="B1546" s="4" t="s">
        <v>1627</v>
      </c>
      <c r="C1546" s="5">
        <v>41489</v>
      </c>
      <c r="D1546" s="5">
        <v>41549</v>
      </c>
      <c r="E1546" s="4" t="s">
        <v>1410</v>
      </c>
      <c r="F1546" s="4" t="s">
        <v>1613</v>
      </c>
    </row>
    <row r="1547" spans="1:6" x14ac:dyDescent="0.25">
      <c r="A1547" s="4" t="str">
        <f>CONCATENATE("3071-0000-0267","")</f>
        <v>3071-0000-0267</v>
      </c>
      <c r="B1547" s="4" t="s">
        <v>606</v>
      </c>
      <c r="C1547" s="5">
        <v>41489</v>
      </c>
      <c r="D1547" s="5">
        <v>41549</v>
      </c>
      <c r="E1547" s="4" t="s">
        <v>7</v>
      </c>
      <c r="F1547" s="4" t="s">
        <v>7</v>
      </c>
    </row>
    <row r="1548" spans="1:6" x14ac:dyDescent="0.25">
      <c r="A1548" s="4" t="str">
        <f>CONCATENATE("3071-0000-8402","")</f>
        <v>3071-0000-8402</v>
      </c>
      <c r="B1548" s="4" t="s">
        <v>6318</v>
      </c>
      <c r="C1548" s="5">
        <v>41489</v>
      </c>
      <c r="D1548" s="5">
        <v>41549</v>
      </c>
      <c r="E1548" s="4" t="s">
        <v>5185</v>
      </c>
      <c r="F1548" s="4" t="s">
        <v>5185</v>
      </c>
    </row>
    <row r="1549" spans="1:6" x14ac:dyDescent="0.25">
      <c r="A1549" s="4" t="str">
        <f>CONCATENATE("3071-0000-5109","")</f>
        <v>3071-0000-5109</v>
      </c>
      <c r="B1549" s="4" t="s">
        <v>9262</v>
      </c>
      <c r="C1549" s="5">
        <v>41489</v>
      </c>
      <c r="D1549" s="5">
        <v>41549</v>
      </c>
      <c r="E1549" s="4" t="s">
        <v>7069</v>
      </c>
      <c r="F1549" s="4" t="s">
        <v>9210</v>
      </c>
    </row>
    <row r="1550" spans="1:6" x14ac:dyDescent="0.25">
      <c r="A1550" s="4" t="str">
        <f>CONCATENATE("3071-0000-4456","")</f>
        <v>3071-0000-4456</v>
      </c>
      <c r="B1550" s="4" t="s">
        <v>9338</v>
      </c>
      <c r="C1550" s="5">
        <v>41489</v>
      </c>
      <c r="D1550" s="5">
        <v>41549</v>
      </c>
      <c r="E1550" s="4" t="s">
        <v>1410</v>
      </c>
      <c r="F1550" s="4" t="s">
        <v>8696</v>
      </c>
    </row>
    <row r="1551" spans="1:6" x14ac:dyDescent="0.25">
      <c r="A1551" s="4" t="str">
        <f>CONCATENATE("3071-0000-8891","")</f>
        <v>3071-0000-8891</v>
      </c>
      <c r="B1551" s="4" t="s">
        <v>6408</v>
      </c>
      <c r="C1551" s="5">
        <v>41489</v>
      </c>
      <c r="D1551" s="5">
        <v>41549</v>
      </c>
      <c r="E1551" s="4" t="s">
        <v>5185</v>
      </c>
      <c r="F1551" s="4" t="s">
        <v>5292</v>
      </c>
    </row>
    <row r="1552" spans="1:6" x14ac:dyDescent="0.25">
      <c r="A1552" s="4" t="str">
        <f>CONCATENATE("3071-0000-3464","")</f>
        <v>3071-0000-3464</v>
      </c>
      <c r="B1552" s="4" t="s">
        <v>1752</v>
      </c>
      <c r="C1552" s="5">
        <v>41489</v>
      </c>
      <c r="D1552" s="5">
        <v>41549</v>
      </c>
      <c r="E1552" s="4" t="s">
        <v>1410</v>
      </c>
      <c r="F1552" s="4" t="s">
        <v>1411</v>
      </c>
    </row>
    <row r="1553" spans="1:6" x14ac:dyDescent="0.25">
      <c r="A1553" s="4" t="str">
        <f>CONCATENATE("3071-0000-0195","")</f>
        <v>3071-0000-0195</v>
      </c>
      <c r="B1553" s="4" t="s">
        <v>427</v>
      </c>
      <c r="C1553" s="5">
        <v>41489</v>
      </c>
      <c r="D1553" s="5">
        <v>41549</v>
      </c>
      <c r="E1553" s="4" t="s">
        <v>7</v>
      </c>
      <c r="F1553" s="4" t="s">
        <v>7</v>
      </c>
    </row>
    <row r="1554" spans="1:6" x14ac:dyDescent="0.25">
      <c r="A1554" s="4" t="str">
        <f>CONCATENATE("3071-0000-0067","")</f>
        <v>3071-0000-0067</v>
      </c>
      <c r="B1554" s="4" t="s">
        <v>134</v>
      </c>
      <c r="C1554" s="5">
        <v>41489</v>
      </c>
      <c r="D1554" s="5">
        <v>41549</v>
      </c>
      <c r="E1554" s="4" t="s">
        <v>7</v>
      </c>
      <c r="F1554" s="4" t="s">
        <v>7</v>
      </c>
    </row>
    <row r="1555" spans="1:6" x14ac:dyDescent="0.25">
      <c r="A1555" s="4" t="str">
        <f>CONCATENATE("3071-0000-9442","")</f>
        <v>3071-0000-9442</v>
      </c>
      <c r="B1555" s="4" t="s">
        <v>8431</v>
      </c>
      <c r="C1555" s="5">
        <v>41489</v>
      </c>
      <c r="D1555" s="5">
        <v>41549</v>
      </c>
      <c r="E1555" s="4" t="s">
        <v>1410</v>
      </c>
      <c r="F1555" s="4" t="s">
        <v>7967</v>
      </c>
    </row>
    <row r="1556" spans="1:6" x14ac:dyDescent="0.25">
      <c r="A1556" s="4" t="str">
        <f>CONCATENATE("3071-0000-7400","")</f>
        <v>3071-0000-7400</v>
      </c>
      <c r="B1556" s="4" t="s">
        <v>4325</v>
      </c>
      <c r="C1556" s="5">
        <v>41489</v>
      </c>
      <c r="D1556" s="5">
        <v>41549</v>
      </c>
      <c r="E1556" s="4" t="s">
        <v>1410</v>
      </c>
      <c r="F1556" s="4" t="s">
        <v>1410</v>
      </c>
    </row>
    <row r="1557" spans="1:6" x14ac:dyDescent="0.25">
      <c r="A1557" s="4" t="str">
        <f>CONCATENATE("3071-0000-6221","")</f>
        <v>3071-0000-6221</v>
      </c>
      <c r="B1557" s="4" t="s">
        <v>7053</v>
      </c>
      <c r="C1557" s="5">
        <v>41489</v>
      </c>
      <c r="D1557" s="5">
        <v>41549</v>
      </c>
      <c r="E1557" s="4" t="s">
        <v>1410</v>
      </c>
      <c r="F1557" s="4" t="s">
        <v>6798</v>
      </c>
    </row>
    <row r="1558" spans="1:6" x14ac:dyDescent="0.25">
      <c r="A1558" s="4" t="str">
        <f>CONCATENATE("3071-0000-6793","")</f>
        <v>3071-0000-6793</v>
      </c>
      <c r="B1558" s="4" t="s">
        <v>8057</v>
      </c>
      <c r="C1558" s="5">
        <v>41489</v>
      </c>
      <c r="D1558" s="5">
        <v>41549</v>
      </c>
      <c r="E1558" s="4" t="s">
        <v>1410</v>
      </c>
      <c r="F1558" s="4" t="s">
        <v>4655</v>
      </c>
    </row>
    <row r="1559" spans="1:6" x14ac:dyDescent="0.25">
      <c r="A1559" s="4" t="str">
        <f>CONCATENATE("3071-0000-3384","")</f>
        <v>3071-0000-3384</v>
      </c>
      <c r="B1559" s="4" t="s">
        <v>1528</v>
      </c>
      <c r="C1559" s="5">
        <v>41489</v>
      </c>
      <c r="D1559" s="5">
        <v>41549</v>
      </c>
      <c r="E1559" s="4" t="s">
        <v>1410</v>
      </c>
      <c r="F1559" s="4" t="s">
        <v>1411</v>
      </c>
    </row>
    <row r="1560" spans="1:6" x14ac:dyDescent="0.25">
      <c r="A1560" s="4" t="str">
        <f>CONCATENATE("3071-0000-4915","")</f>
        <v>3071-0000-4915</v>
      </c>
      <c r="B1560" s="4" t="s">
        <v>8789</v>
      </c>
      <c r="C1560" s="5">
        <v>41489</v>
      </c>
      <c r="D1560" s="5">
        <v>41549</v>
      </c>
      <c r="E1560" s="4" t="s">
        <v>7069</v>
      </c>
      <c r="F1560" s="4" t="s">
        <v>8783</v>
      </c>
    </row>
    <row r="1561" spans="1:6" x14ac:dyDescent="0.25">
      <c r="A1561" s="4" t="str">
        <f>CONCATENATE("3071-0000-4341","")</f>
        <v>3071-0000-4341</v>
      </c>
      <c r="B1561" s="4" t="s">
        <v>8762</v>
      </c>
      <c r="C1561" s="5">
        <v>41489</v>
      </c>
      <c r="D1561" s="5">
        <v>41549</v>
      </c>
      <c r="E1561" s="4" t="s">
        <v>1410</v>
      </c>
      <c r="F1561" s="4" t="s">
        <v>8696</v>
      </c>
    </row>
    <row r="1562" spans="1:6" x14ac:dyDescent="0.25">
      <c r="A1562" s="4" t="str">
        <f>CONCATENATE("3071-0000-4333","")</f>
        <v>3071-0000-4333</v>
      </c>
      <c r="B1562" s="4" t="s">
        <v>8774</v>
      </c>
      <c r="C1562" s="5">
        <v>41489</v>
      </c>
      <c r="D1562" s="5">
        <v>41549</v>
      </c>
      <c r="E1562" s="4" t="s">
        <v>1410</v>
      </c>
      <c r="F1562" s="4" t="s">
        <v>8696</v>
      </c>
    </row>
    <row r="1563" spans="1:6" x14ac:dyDescent="0.25">
      <c r="A1563" s="4" t="str">
        <f>CONCATENATE("3071-0000-1633","")</f>
        <v>3071-0000-1633</v>
      </c>
      <c r="B1563" s="4" t="s">
        <v>2502</v>
      </c>
      <c r="C1563" s="5">
        <v>41489</v>
      </c>
      <c r="D1563" s="5">
        <v>41549</v>
      </c>
      <c r="E1563" s="4" t="s">
        <v>1381</v>
      </c>
      <c r="F1563" s="4" t="s">
        <v>2303</v>
      </c>
    </row>
    <row r="1564" spans="1:6" x14ac:dyDescent="0.25">
      <c r="A1564" s="4" t="str">
        <f>CONCATENATE("3071-0000-3647","")</f>
        <v>3071-0000-3647</v>
      </c>
      <c r="B1564" s="4" t="s">
        <v>1725</v>
      </c>
      <c r="C1564" s="5">
        <v>41489</v>
      </c>
      <c r="D1564" s="5">
        <v>41549</v>
      </c>
      <c r="E1564" s="4" t="s">
        <v>1410</v>
      </c>
      <c r="F1564" s="4" t="s">
        <v>1613</v>
      </c>
    </row>
    <row r="1565" spans="1:6" x14ac:dyDescent="0.25">
      <c r="A1565" s="4" t="str">
        <f>CONCATENATE("3071-0000-4909","")</f>
        <v>3071-0000-4909</v>
      </c>
      <c r="B1565" s="4" t="s">
        <v>8763</v>
      </c>
      <c r="C1565" s="5">
        <v>41489</v>
      </c>
      <c r="D1565" s="5">
        <v>41549</v>
      </c>
      <c r="E1565" s="4" t="s">
        <v>1410</v>
      </c>
      <c r="F1565" s="4" t="s">
        <v>8696</v>
      </c>
    </row>
    <row r="1566" spans="1:6" x14ac:dyDescent="0.25">
      <c r="A1566" s="4" t="str">
        <f>CONCATENATE("3071-0000-2815","")</f>
        <v>3071-0000-2815</v>
      </c>
      <c r="B1566" s="4" t="s">
        <v>1038</v>
      </c>
      <c r="C1566" s="5">
        <v>41489</v>
      </c>
      <c r="D1566" s="5">
        <v>41549</v>
      </c>
      <c r="E1566" s="4" t="s">
        <v>7</v>
      </c>
      <c r="F1566" s="4" t="s">
        <v>808</v>
      </c>
    </row>
    <row r="1567" spans="1:6" x14ac:dyDescent="0.25">
      <c r="A1567" s="4" t="str">
        <f>CONCATENATE("3071-0000-7619","")</f>
        <v>3071-0000-7619</v>
      </c>
      <c r="B1567" s="4" t="s">
        <v>4578</v>
      </c>
      <c r="C1567" s="5">
        <v>41489</v>
      </c>
      <c r="D1567" s="5">
        <v>41549</v>
      </c>
      <c r="E1567" s="4" t="s">
        <v>1410</v>
      </c>
      <c r="F1567" s="4" t="s">
        <v>1410</v>
      </c>
    </row>
    <row r="1568" spans="1:6" x14ac:dyDescent="0.25">
      <c r="A1568" s="4" t="str">
        <f>CONCATENATE("3071-0000-3750","")</f>
        <v>3071-0000-3750</v>
      </c>
      <c r="B1568" s="4" t="s">
        <v>1801</v>
      </c>
      <c r="C1568" s="5">
        <v>41489</v>
      </c>
      <c r="D1568" s="5">
        <v>41549</v>
      </c>
      <c r="E1568" s="4" t="s">
        <v>1410</v>
      </c>
      <c r="F1568" s="4" t="s">
        <v>1411</v>
      </c>
    </row>
    <row r="1569" spans="1:6" x14ac:dyDescent="0.25">
      <c r="A1569" s="4" t="str">
        <f>CONCATENATE("3071-0000-1634","")</f>
        <v>3071-0000-1634</v>
      </c>
      <c r="B1569" s="4" t="s">
        <v>2709</v>
      </c>
      <c r="C1569" s="5">
        <v>41489</v>
      </c>
      <c r="D1569" s="5">
        <v>41549</v>
      </c>
      <c r="E1569" s="4" t="s">
        <v>1381</v>
      </c>
      <c r="F1569" s="4" t="s">
        <v>2303</v>
      </c>
    </row>
    <row r="1570" spans="1:6" x14ac:dyDescent="0.25">
      <c r="A1570" s="4" t="str">
        <f>CONCATENATE("3071-0000-1654","")</f>
        <v>3071-0000-1654</v>
      </c>
      <c r="B1570" s="4" t="s">
        <v>2646</v>
      </c>
      <c r="C1570" s="5">
        <v>41489</v>
      </c>
      <c r="D1570" s="5">
        <v>41549</v>
      </c>
      <c r="E1570" s="4" t="s">
        <v>1381</v>
      </c>
      <c r="F1570" s="4" t="s">
        <v>2303</v>
      </c>
    </row>
    <row r="1571" spans="1:6" x14ac:dyDescent="0.25">
      <c r="A1571" s="4" t="str">
        <f>CONCATENATE("3071-0000-1459","")</f>
        <v>3071-0000-1459</v>
      </c>
      <c r="B1571" s="4" t="s">
        <v>2901</v>
      </c>
      <c r="C1571" s="5">
        <v>41489</v>
      </c>
      <c r="D1571" s="5">
        <v>41549</v>
      </c>
      <c r="E1571" s="4" t="s">
        <v>1381</v>
      </c>
      <c r="F1571" s="4" t="s">
        <v>2303</v>
      </c>
    </row>
    <row r="1572" spans="1:6" x14ac:dyDescent="0.25">
      <c r="A1572" s="4" t="str">
        <f>CONCATENATE("3071-0000-3005","")</f>
        <v>3071-0000-3005</v>
      </c>
      <c r="B1572" s="4" t="s">
        <v>908</v>
      </c>
      <c r="C1572" s="5">
        <v>41489</v>
      </c>
      <c r="D1572" s="5">
        <v>41549</v>
      </c>
      <c r="E1572" s="4" t="s">
        <v>7</v>
      </c>
      <c r="F1572" s="4" t="s">
        <v>808</v>
      </c>
    </row>
    <row r="1573" spans="1:6" x14ac:dyDescent="0.25">
      <c r="A1573" s="4" t="str">
        <f>CONCATENATE("3071-0000-0573","")</f>
        <v>3071-0000-0573</v>
      </c>
      <c r="B1573" s="4" t="s">
        <v>547</v>
      </c>
      <c r="C1573" s="5">
        <v>41489</v>
      </c>
      <c r="D1573" s="5">
        <v>41549</v>
      </c>
      <c r="E1573" s="4" t="s">
        <v>7</v>
      </c>
      <c r="F1573" s="4" t="s">
        <v>273</v>
      </c>
    </row>
    <row r="1574" spans="1:6" x14ac:dyDescent="0.25">
      <c r="A1574" s="4" t="str">
        <f>CONCATENATE("3071-0000-4977","")</f>
        <v>3071-0000-4977</v>
      </c>
      <c r="B1574" s="4" t="s">
        <v>9418</v>
      </c>
      <c r="C1574" s="5">
        <v>41489</v>
      </c>
      <c r="D1574" s="5">
        <v>41549</v>
      </c>
      <c r="E1574" s="4" t="s">
        <v>7069</v>
      </c>
      <c r="F1574" s="4" t="s">
        <v>9210</v>
      </c>
    </row>
    <row r="1575" spans="1:6" x14ac:dyDescent="0.25">
      <c r="A1575" s="4" t="str">
        <f>CONCATENATE("3071-0000-7865","")</f>
        <v>3071-0000-7865</v>
      </c>
      <c r="B1575" s="4" t="s">
        <v>6205</v>
      </c>
      <c r="C1575" s="5">
        <v>41489</v>
      </c>
      <c r="D1575" s="5">
        <v>41549</v>
      </c>
      <c r="E1575" s="4" t="s">
        <v>5185</v>
      </c>
      <c r="F1575" s="4" t="s">
        <v>5185</v>
      </c>
    </row>
    <row r="1576" spans="1:6" x14ac:dyDescent="0.25">
      <c r="A1576" s="4" t="str">
        <f>CONCATENATE("3071-0000-6259","")</f>
        <v>3071-0000-6259</v>
      </c>
      <c r="B1576" s="4" t="s">
        <v>6996</v>
      </c>
      <c r="C1576" s="5">
        <v>41489</v>
      </c>
      <c r="D1576" s="5">
        <v>41549</v>
      </c>
      <c r="E1576" s="4" t="s">
        <v>1410</v>
      </c>
      <c r="F1576" s="4" t="s">
        <v>6798</v>
      </c>
    </row>
    <row r="1577" spans="1:6" x14ac:dyDescent="0.25">
      <c r="A1577" s="4" t="str">
        <f>CONCATENATE("3071-0000-1424","")</f>
        <v>3071-0000-1424</v>
      </c>
      <c r="B1577" s="4" t="s">
        <v>2651</v>
      </c>
      <c r="C1577" s="5">
        <v>41489</v>
      </c>
      <c r="D1577" s="5">
        <v>41549</v>
      </c>
      <c r="E1577" s="4" t="s">
        <v>1381</v>
      </c>
      <c r="F1577" s="4" t="s">
        <v>2303</v>
      </c>
    </row>
    <row r="1578" spans="1:6" x14ac:dyDescent="0.25">
      <c r="A1578" s="4" t="str">
        <f>CONCATENATE("3071-0000-2683","")</f>
        <v>3071-0000-2683</v>
      </c>
      <c r="B1578" s="4" t="s">
        <v>3275</v>
      </c>
      <c r="C1578" s="5">
        <v>41489</v>
      </c>
      <c r="D1578" s="5">
        <v>41549</v>
      </c>
      <c r="E1578" s="4" t="s">
        <v>2944</v>
      </c>
      <c r="F1578" s="4" t="s">
        <v>3164</v>
      </c>
    </row>
    <row r="1579" spans="1:6" x14ac:dyDescent="0.25">
      <c r="A1579" s="4" t="str">
        <f>CONCATENATE("3071-0000-4712","")</f>
        <v>3071-0000-4712</v>
      </c>
      <c r="B1579" s="4" t="s">
        <v>9655</v>
      </c>
      <c r="C1579" s="5">
        <v>41489</v>
      </c>
      <c r="D1579" s="5">
        <v>41549</v>
      </c>
      <c r="E1579" s="4" t="s">
        <v>1410</v>
      </c>
      <c r="F1579" s="4" t="s">
        <v>8696</v>
      </c>
    </row>
    <row r="1580" spans="1:6" x14ac:dyDescent="0.25">
      <c r="A1580" s="4" t="str">
        <f>CONCATENATE("3071-0000-0775","")</f>
        <v>3071-0000-0775</v>
      </c>
      <c r="B1580" s="4" t="s">
        <v>84</v>
      </c>
      <c r="C1580" s="5">
        <v>41489</v>
      </c>
      <c r="D1580" s="5">
        <v>41549</v>
      </c>
      <c r="E1580" s="4" t="s">
        <v>7</v>
      </c>
      <c r="F1580" s="4" t="s">
        <v>7</v>
      </c>
    </row>
    <row r="1581" spans="1:6" x14ac:dyDescent="0.25">
      <c r="A1581" s="4" t="str">
        <f>CONCATENATE("3071-0000-3563","")</f>
        <v>3071-0000-3563</v>
      </c>
      <c r="B1581" s="4" t="s">
        <v>1571</v>
      </c>
      <c r="C1581" s="5">
        <v>41489</v>
      </c>
      <c r="D1581" s="5">
        <v>41549</v>
      </c>
      <c r="E1581" s="4" t="s">
        <v>1410</v>
      </c>
      <c r="F1581" s="4" t="s">
        <v>1411</v>
      </c>
    </row>
    <row r="1582" spans="1:6" x14ac:dyDescent="0.25">
      <c r="A1582" s="4" t="str">
        <f>CONCATENATE("3071-0000-3636","")</f>
        <v>3071-0000-3636</v>
      </c>
      <c r="B1582" s="4" t="s">
        <v>1728</v>
      </c>
      <c r="C1582" s="5">
        <v>41489</v>
      </c>
      <c r="D1582" s="5">
        <v>41549</v>
      </c>
      <c r="E1582" s="4" t="s">
        <v>1410</v>
      </c>
      <c r="F1582" s="4" t="s">
        <v>1411</v>
      </c>
    </row>
    <row r="1583" spans="1:6" x14ac:dyDescent="0.25">
      <c r="A1583" s="4" t="str">
        <f>CONCATENATE("3071-0000-3555","")</f>
        <v>3071-0000-3555</v>
      </c>
      <c r="B1583" s="4" t="s">
        <v>1466</v>
      </c>
      <c r="C1583" s="5">
        <v>41489</v>
      </c>
      <c r="D1583" s="5">
        <v>41549</v>
      </c>
      <c r="E1583" s="4" t="s">
        <v>1410</v>
      </c>
      <c r="F1583" s="4" t="s">
        <v>1411</v>
      </c>
    </row>
    <row r="1584" spans="1:6" x14ac:dyDescent="0.25">
      <c r="A1584" s="4" t="str">
        <f>CONCATENATE("3071-0000-1515","")</f>
        <v>3071-0000-1515</v>
      </c>
      <c r="B1584" s="4" t="s">
        <v>2847</v>
      </c>
      <c r="C1584" s="5">
        <v>41489</v>
      </c>
      <c r="D1584" s="5">
        <v>41549</v>
      </c>
      <c r="E1584" s="4" t="s">
        <v>1381</v>
      </c>
      <c r="F1584" s="4" t="s">
        <v>2303</v>
      </c>
    </row>
    <row r="1585" spans="1:6" x14ac:dyDescent="0.25">
      <c r="A1585" s="4" t="str">
        <f>CONCATENATE("3071-0000-3540","")</f>
        <v>3071-0000-3540</v>
      </c>
      <c r="B1585" s="4" t="s">
        <v>1474</v>
      </c>
      <c r="C1585" s="5">
        <v>41489</v>
      </c>
      <c r="D1585" s="5">
        <v>41549</v>
      </c>
      <c r="E1585" s="4" t="s">
        <v>1410</v>
      </c>
      <c r="F1585" s="4" t="s">
        <v>1411</v>
      </c>
    </row>
    <row r="1586" spans="1:6" x14ac:dyDescent="0.25">
      <c r="A1586" s="4" t="str">
        <f>CONCATENATE("3071-0000-3097","")</f>
        <v>3071-0000-3097</v>
      </c>
      <c r="B1586" s="4" t="s">
        <v>1358</v>
      </c>
      <c r="C1586" s="5">
        <v>41489</v>
      </c>
      <c r="D1586" s="5">
        <v>41549</v>
      </c>
      <c r="E1586" s="4" t="s">
        <v>7</v>
      </c>
      <c r="F1586" s="4" t="s">
        <v>982</v>
      </c>
    </row>
    <row r="1587" spans="1:6" x14ac:dyDescent="0.25">
      <c r="A1587" s="4" t="str">
        <f>CONCATENATE("3071-0000-0237","")</f>
        <v>3071-0000-0237</v>
      </c>
      <c r="B1587" s="4" t="s">
        <v>526</v>
      </c>
      <c r="C1587" s="5">
        <v>41489</v>
      </c>
      <c r="D1587" s="5">
        <v>41549</v>
      </c>
      <c r="E1587" s="4" t="s">
        <v>7</v>
      </c>
      <c r="F1587" s="4" t="s">
        <v>7</v>
      </c>
    </row>
    <row r="1588" spans="1:6" x14ac:dyDescent="0.25">
      <c r="A1588" s="4" t="str">
        <f>CONCATENATE("3071-0000-4491","")</f>
        <v>3071-0000-4491</v>
      </c>
      <c r="B1588" s="4" t="s">
        <v>9100</v>
      </c>
      <c r="C1588" s="5">
        <v>41489</v>
      </c>
      <c r="D1588" s="5">
        <v>41549</v>
      </c>
      <c r="E1588" s="4" t="s">
        <v>1410</v>
      </c>
      <c r="F1588" s="4" t="s">
        <v>8696</v>
      </c>
    </row>
    <row r="1589" spans="1:6" x14ac:dyDescent="0.25">
      <c r="A1589" s="4" t="str">
        <f>CONCATENATE("3071-0000-5476","")</f>
        <v>3071-0000-5476</v>
      </c>
      <c r="B1589" s="4" t="s">
        <v>6693</v>
      </c>
      <c r="C1589" s="5">
        <v>41489</v>
      </c>
      <c r="D1589" s="5">
        <v>41549</v>
      </c>
      <c r="E1589" s="4" t="s">
        <v>1410</v>
      </c>
      <c r="F1589" s="4" t="s">
        <v>6635</v>
      </c>
    </row>
    <row r="1590" spans="1:6" x14ac:dyDescent="0.25">
      <c r="A1590" s="4" t="str">
        <f>CONCATENATE("3071-0000-1996","")</f>
        <v>3071-0000-1996</v>
      </c>
      <c r="B1590" s="4" t="s">
        <v>3143</v>
      </c>
      <c r="C1590" s="5">
        <v>41489</v>
      </c>
      <c r="D1590" s="5">
        <v>41549</v>
      </c>
      <c r="E1590" s="4" t="s">
        <v>2944</v>
      </c>
      <c r="F1590" s="4" t="s">
        <v>2945</v>
      </c>
    </row>
    <row r="1591" spans="1:6" x14ac:dyDescent="0.25">
      <c r="A1591" s="4" t="str">
        <f>CONCATENATE("3071-0000-0705","")</f>
        <v>3071-0000-0705</v>
      </c>
      <c r="B1591" s="4" t="s">
        <v>761</v>
      </c>
      <c r="C1591" s="5">
        <v>41489</v>
      </c>
      <c r="D1591" s="5">
        <v>41549</v>
      </c>
      <c r="E1591" s="4" t="s">
        <v>7</v>
      </c>
      <c r="F1591" s="4" t="s">
        <v>7</v>
      </c>
    </row>
    <row r="1592" spans="1:6" x14ac:dyDescent="0.25">
      <c r="A1592" s="4" t="str">
        <f>CONCATENATE("3071-0000-7767","")</f>
        <v>3071-0000-7767</v>
      </c>
      <c r="B1592" s="4" t="s">
        <v>4584</v>
      </c>
      <c r="C1592" s="5">
        <v>41489</v>
      </c>
      <c r="D1592" s="5">
        <v>41549</v>
      </c>
      <c r="E1592" s="4" t="s">
        <v>1410</v>
      </c>
      <c r="F1592" s="4" t="s">
        <v>1410</v>
      </c>
    </row>
    <row r="1593" spans="1:6" x14ac:dyDescent="0.25">
      <c r="A1593" s="4" t="str">
        <f>CONCATENATE("3071-0000-0742","")</f>
        <v>3071-0000-0742</v>
      </c>
      <c r="B1593" s="4" t="s">
        <v>704</v>
      </c>
      <c r="C1593" s="5">
        <v>41489</v>
      </c>
      <c r="D1593" s="5">
        <v>41549</v>
      </c>
      <c r="E1593" s="4" t="s">
        <v>7</v>
      </c>
      <c r="F1593" s="4" t="s">
        <v>7</v>
      </c>
    </row>
    <row r="1594" spans="1:6" x14ac:dyDescent="0.25">
      <c r="A1594" s="4" t="str">
        <f>CONCATENATE("3071-0000-0606","")</f>
        <v>3071-0000-0606</v>
      </c>
      <c r="B1594" s="4" t="s">
        <v>631</v>
      </c>
      <c r="C1594" s="5">
        <v>41489</v>
      </c>
      <c r="D1594" s="5">
        <v>41549</v>
      </c>
      <c r="E1594" s="4" t="s">
        <v>7</v>
      </c>
      <c r="F1594" s="4" t="s">
        <v>7</v>
      </c>
    </row>
    <row r="1595" spans="1:6" x14ac:dyDescent="0.25">
      <c r="A1595" s="4" t="str">
        <f>CONCATENATE("3071-0000-1565","")</f>
        <v>3071-0000-1565</v>
      </c>
      <c r="B1595" s="4" t="s">
        <v>2807</v>
      </c>
      <c r="C1595" s="5">
        <v>41489</v>
      </c>
      <c r="D1595" s="5">
        <v>41549</v>
      </c>
      <c r="E1595" s="4" t="s">
        <v>1381</v>
      </c>
      <c r="F1595" s="4" t="s">
        <v>2303</v>
      </c>
    </row>
    <row r="1596" spans="1:6" x14ac:dyDescent="0.25">
      <c r="A1596" s="4" t="str">
        <f>CONCATENATE("3071-0000-6850","")</f>
        <v>3071-0000-6850</v>
      </c>
      <c r="B1596" s="4" t="s">
        <v>8065</v>
      </c>
      <c r="C1596" s="5">
        <v>41489</v>
      </c>
      <c r="D1596" s="5">
        <v>41549</v>
      </c>
      <c r="E1596" s="4" t="s">
        <v>1410</v>
      </c>
      <c r="F1596" s="4" t="s">
        <v>1613</v>
      </c>
    </row>
    <row r="1597" spans="1:6" x14ac:dyDescent="0.25">
      <c r="A1597" s="4" t="str">
        <f>CONCATENATE("3071-0000-3705","")</f>
        <v>3071-0000-3705</v>
      </c>
      <c r="B1597" s="4" t="s">
        <v>1449</v>
      </c>
      <c r="C1597" s="5">
        <v>41489</v>
      </c>
      <c r="D1597" s="5">
        <v>41549</v>
      </c>
      <c r="E1597" s="4" t="s">
        <v>1410</v>
      </c>
      <c r="F1597" s="4" t="s">
        <v>1411</v>
      </c>
    </row>
    <row r="1598" spans="1:6" x14ac:dyDescent="0.25">
      <c r="A1598" s="4" t="str">
        <f>CONCATENATE("3071-0000-9267","")</f>
        <v>3071-0000-9267</v>
      </c>
      <c r="B1598" s="4" t="s">
        <v>8541</v>
      </c>
      <c r="C1598" s="5">
        <v>41489</v>
      </c>
      <c r="D1598" s="5">
        <v>41549</v>
      </c>
      <c r="E1598" s="4" t="s">
        <v>5185</v>
      </c>
      <c r="F1598" s="4" t="s">
        <v>5185</v>
      </c>
    </row>
    <row r="1599" spans="1:6" x14ac:dyDescent="0.25">
      <c r="A1599" s="4" t="str">
        <f>CONCATENATE("3071-0000-0583","")</f>
        <v>3071-0000-0583</v>
      </c>
      <c r="B1599" s="4" t="s">
        <v>600</v>
      </c>
      <c r="C1599" s="5">
        <v>41489</v>
      </c>
      <c r="D1599" s="5">
        <v>41549</v>
      </c>
      <c r="E1599" s="4" t="s">
        <v>7</v>
      </c>
      <c r="F1599" s="4" t="s">
        <v>7</v>
      </c>
    </row>
    <row r="1600" spans="1:6" x14ac:dyDescent="0.25">
      <c r="A1600" s="4" t="str">
        <f>CONCATENATE("3071-0000-0741","")</f>
        <v>3071-0000-0741</v>
      </c>
      <c r="B1600" s="4" t="s">
        <v>711</v>
      </c>
      <c r="C1600" s="5">
        <v>41489</v>
      </c>
      <c r="D1600" s="5">
        <v>41549</v>
      </c>
      <c r="E1600" s="4" t="s">
        <v>7</v>
      </c>
      <c r="F1600" s="4" t="s">
        <v>7</v>
      </c>
    </row>
    <row r="1601" spans="1:6" x14ac:dyDescent="0.25">
      <c r="A1601" s="4" t="str">
        <f>CONCATENATE("3071-0000-0292","")</f>
        <v>3071-0000-0292</v>
      </c>
      <c r="B1601" s="4" t="s">
        <v>83</v>
      </c>
      <c r="C1601" s="5">
        <v>41489</v>
      </c>
      <c r="D1601" s="5">
        <v>41549</v>
      </c>
      <c r="E1601" s="4" t="s">
        <v>7</v>
      </c>
      <c r="F1601" s="4" t="s">
        <v>7</v>
      </c>
    </row>
    <row r="1602" spans="1:6" x14ac:dyDescent="0.25">
      <c r="A1602" s="4" t="str">
        <f>CONCATENATE("3071-0000-0582","")</f>
        <v>3071-0000-0582</v>
      </c>
      <c r="B1602" s="4" t="s">
        <v>642</v>
      </c>
      <c r="C1602" s="5">
        <v>41489</v>
      </c>
      <c r="D1602" s="5">
        <v>41549</v>
      </c>
      <c r="E1602" s="4" t="s">
        <v>7</v>
      </c>
      <c r="F1602" s="4" t="s">
        <v>7</v>
      </c>
    </row>
    <row r="1603" spans="1:6" x14ac:dyDescent="0.25">
      <c r="A1603" s="4" t="str">
        <f>CONCATENATE("3071-0000-6980","")</f>
        <v>3071-0000-6980</v>
      </c>
      <c r="B1603" s="4" t="s">
        <v>4475</v>
      </c>
      <c r="C1603" s="5">
        <v>41489</v>
      </c>
      <c r="D1603" s="5">
        <v>41549</v>
      </c>
      <c r="E1603" s="4" t="s">
        <v>1410</v>
      </c>
      <c r="F1603" s="4" t="s">
        <v>1410</v>
      </c>
    </row>
    <row r="1604" spans="1:6" x14ac:dyDescent="0.25">
      <c r="A1604" s="4" t="str">
        <f>CONCATENATE("3071-0000-9437","")</f>
        <v>3071-0000-9437</v>
      </c>
      <c r="B1604" s="4" t="s">
        <v>8429</v>
      </c>
      <c r="C1604" s="5">
        <v>41489</v>
      </c>
      <c r="D1604" s="5">
        <v>41549</v>
      </c>
      <c r="E1604" s="4" t="s">
        <v>1410</v>
      </c>
      <c r="F1604" s="4" t="s">
        <v>7967</v>
      </c>
    </row>
    <row r="1605" spans="1:6" x14ac:dyDescent="0.25">
      <c r="A1605" s="4" t="str">
        <f>CONCATENATE("3071-0000-3220","")</f>
        <v>3071-0000-3220</v>
      </c>
      <c r="B1605" s="4" t="s">
        <v>985</v>
      </c>
      <c r="C1605" s="5">
        <v>41489</v>
      </c>
      <c r="D1605" s="5">
        <v>41549</v>
      </c>
      <c r="E1605" s="4" t="s">
        <v>7</v>
      </c>
      <c r="F1605" s="4" t="s">
        <v>808</v>
      </c>
    </row>
    <row r="1606" spans="1:6" x14ac:dyDescent="0.25">
      <c r="A1606" s="4" t="str">
        <f>CONCATENATE("3071-0000-3276","")</f>
        <v>3071-0000-3276</v>
      </c>
      <c r="B1606" s="4" t="s">
        <v>1005</v>
      </c>
      <c r="C1606" s="5">
        <v>41489</v>
      </c>
      <c r="D1606" s="5">
        <v>41549</v>
      </c>
      <c r="E1606" s="4" t="s">
        <v>7</v>
      </c>
      <c r="F1606" s="4" t="s">
        <v>808</v>
      </c>
    </row>
    <row r="1607" spans="1:6" x14ac:dyDescent="0.25">
      <c r="A1607" s="4" t="str">
        <f>CONCATENATE("3071-0000-3129","")</f>
        <v>3071-0000-3129</v>
      </c>
      <c r="B1607" s="4" t="s">
        <v>1041</v>
      </c>
      <c r="C1607" s="5">
        <v>41489</v>
      </c>
      <c r="D1607" s="5">
        <v>41549</v>
      </c>
      <c r="E1607" s="4" t="s">
        <v>7</v>
      </c>
      <c r="F1607" s="4" t="s">
        <v>808</v>
      </c>
    </row>
    <row r="1608" spans="1:6" x14ac:dyDescent="0.25">
      <c r="A1608" s="4" t="str">
        <f>CONCATENATE("3071-0000-0654","")</f>
        <v>3071-0000-0654</v>
      </c>
      <c r="B1608" s="4" t="s">
        <v>786</v>
      </c>
      <c r="C1608" s="5">
        <v>41489</v>
      </c>
      <c r="D1608" s="5">
        <v>41549</v>
      </c>
      <c r="E1608" s="4" t="s">
        <v>7</v>
      </c>
      <c r="F1608" s="4" t="s">
        <v>7</v>
      </c>
    </row>
    <row r="1609" spans="1:6" x14ac:dyDescent="0.25">
      <c r="A1609" s="4" t="str">
        <f>CONCATENATE("3071-0000-0664","")</f>
        <v>3071-0000-0664</v>
      </c>
      <c r="B1609" s="4" t="s">
        <v>797</v>
      </c>
      <c r="C1609" s="5">
        <v>41489</v>
      </c>
      <c r="D1609" s="5">
        <v>41549</v>
      </c>
      <c r="E1609" s="4" t="s">
        <v>7</v>
      </c>
      <c r="F1609" s="4" t="s">
        <v>7</v>
      </c>
    </row>
    <row r="1610" spans="1:6" x14ac:dyDescent="0.25">
      <c r="A1610" s="4" t="str">
        <f>CONCATENATE("3071-0000-7628","")</f>
        <v>3071-0000-7628</v>
      </c>
      <c r="B1610" s="4" t="s">
        <v>5178</v>
      </c>
      <c r="C1610" s="5">
        <v>41489</v>
      </c>
      <c r="D1610" s="5">
        <v>41549</v>
      </c>
      <c r="E1610" s="4" t="s">
        <v>1410</v>
      </c>
      <c r="F1610" s="4" t="s">
        <v>4616</v>
      </c>
    </row>
    <row r="1611" spans="1:6" x14ac:dyDescent="0.25">
      <c r="A1611" s="4" t="str">
        <f>CONCATENATE("3071-0000-5715","")</f>
        <v>3071-0000-5715</v>
      </c>
      <c r="B1611" s="4" t="s">
        <v>7066</v>
      </c>
      <c r="C1611" s="5">
        <v>41489</v>
      </c>
      <c r="D1611" s="5">
        <v>41549</v>
      </c>
      <c r="E1611" s="4" t="s">
        <v>5185</v>
      </c>
      <c r="F1611" s="4" t="s">
        <v>5185</v>
      </c>
    </row>
    <row r="1612" spans="1:6" x14ac:dyDescent="0.25">
      <c r="A1612" s="4" t="str">
        <f>CONCATENATE("3071-0000-5595","")</f>
        <v>3071-0000-5595</v>
      </c>
      <c r="B1612" s="4" t="s">
        <v>7061</v>
      </c>
      <c r="C1612" s="5">
        <v>41489</v>
      </c>
      <c r="D1612" s="5">
        <v>41549</v>
      </c>
      <c r="E1612" s="4" t="s">
        <v>5185</v>
      </c>
      <c r="F1612" s="4" t="s">
        <v>5185</v>
      </c>
    </row>
    <row r="1613" spans="1:6" x14ac:dyDescent="0.25">
      <c r="A1613" s="4" t="str">
        <f>CONCATENATE("3071-0000-3518","")</f>
        <v>3071-0000-3518</v>
      </c>
      <c r="B1613" s="4" t="s">
        <v>1839</v>
      </c>
      <c r="C1613" s="5">
        <v>41489</v>
      </c>
      <c r="D1613" s="5">
        <v>41549</v>
      </c>
      <c r="E1613" s="4" t="s">
        <v>1410</v>
      </c>
      <c r="F1613" s="4" t="s">
        <v>1411</v>
      </c>
    </row>
    <row r="1614" spans="1:6" x14ac:dyDescent="0.25">
      <c r="A1614" s="4" t="str">
        <f>CONCATENATE("3071-0000-7665","")</f>
        <v>3071-0000-7665</v>
      </c>
      <c r="B1614" s="4" t="s">
        <v>4887</v>
      </c>
      <c r="C1614" s="5">
        <v>41489</v>
      </c>
      <c r="D1614" s="5">
        <v>41549</v>
      </c>
      <c r="E1614" s="4" t="s">
        <v>1410</v>
      </c>
      <c r="F1614" s="4" t="s">
        <v>4655</v>
      </c>
    </row>
    <row r="1615" spans="1:6" x14ac:dyDescent="0.25">
      <c r="A1615" s="4" t="str">
        <f>CONCATENATE("3071-0000-5366","")</f>
        <v>3071-0000-5366</v>
      </c>
      <c r="B1615" s="4" t="s">
        <v>6870</v>
      </c>
      <c r="C1615" s="5">
        <v>41489</v>
      </c>
      <c r="D1615" s="5">
        <v>41549</v>
      </c>
      <c r="E1615" s="4" t="s">
        <v>5185</v>
      </c>
      <c r="F1615" s="4" t="s">
        <v>5185</v>
      </c>
    </row>
    <row r="1616" spans="1:6" x14ac:dyDescent="0.25">
      <c r="A1616" s="4" t="str">
        <f>CONCATENATE("3071-0000-3712","")</f>
        <v>3071-0000-3712</v>
      </c>
      <c r="B1616" s="4" t="s">
        <v>1439</v>
      </c>
      <c r="C1616" s="5">
        <v>41489</v>
      </c>
      <c r="D1616" s="5">
        <v>41549</v>
      </c>
      <c r="E1616" s="4" t="s">
        <v>1410</v>
      </c>
      <c r="F1616" s="4" t="s">
        <v>1411</v>
      </c>
    </row>
    <row r="1617" spans="1:6" x14ac:dyDescent="0.25">
      <c r="A1617" s="4" t="str">
        <f>CONCATENATE("3071-0000-2864","")</f>
        <v>3071-0000-2864</v>
      </c>
      <c r="B1617" s="4" t="s">
        <v>1372</v>
      </c>
      <c r="C1617" s="5">
        <v>41489</v>
      </c>
      <c r="D1617" s="5">
        <v>41549</v>
      </c>
      <c r="E1617" s="4" t="s">
        <v>7</v>
      </c>
      <c r="F1617" s="4" t="s">
        <v>808</v>
      </c>
    </row>
    <row r="1618" spans="1:6" x14ac:dyDescent="0.25">
      <c r="A1618" s="4" t="str">
        <f>CONCATENATE("3071-0000-7113","")</f>
        <v>3071-0000-7113</v>
      </c>
      <c r="B1618" s="4" t="s">
        <v>4743</v>
      </c>
      <c r="C1618" s="5">
        <v>41489</v>
      </c>
      <c r="D1618" s="5">
        <v>41549</v>
      </c>
      <c r="E1618" s="4" t="s">
        <v>1410</v>
      </c>
      <c r="F1618" s="4" t="s">
        <v>1410</v>
      </c>
    </row>
    <row r="1619" spans="1:6" x14ac:dyDescent="0.25">
      <c r="A1619" s="4" t="str">
        <f>CONCATENATE("3071-0000-7092","")</f>
        <v>3071-0000-7092</v>
      </c>
      <c r="B1619" s="4" t="s">
        <v>4872</v>
      </c>
      <c r="C1619" s="5">
        <v>41489</v>
      </c>
      <c r="D1619" s="5">
        <v>41549</v>
      </c>
      <c r="E1619" s="4" t="s">
        <v>1410</v>
      </c>
      <c r="F1619" s="4" t="s">
        <v>1410</v>
      </c>
    </row>
    <row r="1620" spans="1:6" x14ac:dyDescent="0.25">
      <c r="A1620" s="4" t="str">
        <f>CONCATENATE("3071-0000-0617","")</f>
        <v>3071-0000-0617</v>
      </c>
      <c r="B1620" s="4" t="s">
        <v>769</v>
      </c>
      <c r="C1620" s="5">
        <v>41489</v>
      </c>
      <c r="D1620" s="5">
        <v>41549</v>
      </c>
      <c r="E1620" s="4" t="s">
        <v>7</v>
      </c>
      <c r="F1620" s="4" t="s">
        <v>7</v>
      </c>
    </row>
    <row r="1621" spans="1:6" x14ac:dyDescent="0.25">
      <c r="A1621" s="4" t="str">
        <f>CONCATENATE("3071-0000-3395","")</f>
        <v>3071-0000-3395</v>
      </c>
      <c r="B1621" s="4" t="s">
        <v>1549</v>
      </c>
      <c r="C1621" s="5">
        <v>41489</v>
      </c>
      <c r="D1621" s="5">
        <v>41549</v>
      </c>
      <c r="E1621" s="4" t="s">
        <v>1410</v>
      </c>
      <c r="F1621" s="4" t="s">
        <v>1411</v>
      </c>
    </row>
    <row r="1622" spans="1:6" x14ac:dyDescent="0.25">
      <c r="A1622" s="4" t="str">
        <f>CONCATENATE("3071-0000-6554","")</f>
        <v>3071-0000-6554</v>
      </c>
      <c r="B1622" s="4" t="s">
        <v>7803</v>
      </c>
      <c r="C1622" s="5">
        <v>41489</v>
      </c>
      <c r="D1622" s="5">
        <v>41549</v>
      </c>
      <c r="E1622" s="4" t="s">
        <v>5185</v>
      </c>
      <c r="F1622" s="4" t="s">
        <v>5185</v>
      </c>
    </row>
    <row r="1623" spans="1:6" x14ac:dyDescent="0.25">
      <c r="A1623" s="4" t="str">
        <f>CONCATENATE("3071-0000-6363","")</f>
        <v>3071-0000-6363</v>
      </c>
      <c r="B1623" s="4" t="s">
        <v>7888</v>
      </c>
      <c r="C1623" s="5">
        <v>41489</v>
      </c>
      <c r="D1623" s="5">
        <v>41549</v>
      </c>
      <c r="E1623" s="4" t="s">
        <v>5185</v>
      </c>
      <c r="F1623" s="4" t="s">
        <v>5185</v>
      </c>
    </row>
    <row r="1624" spans="1:6" x14ac:dyDescent="0.25">
      <c r="A1624" s="4" t="str">
        <f>CONCATENATE("3071-0000-6364","")</f>
        <v>3071-0000-6364</v>
      </c>
      <c r="B1624" s="4" t="s">
        <v>7889</v>
      </c>
      <c r="C1624" s="5">
        <v>41489</v>
      </c>
      <c r="D1624" s="5">
        <v>41549</v>
      </c>
      <c r="E1624" s="4" t="s">
        <v>5185</v>
      </c>
      <c r="F1624" s="4" t="s">
        <v>5185</v>
      </c>
    </row>
    <row r="1625" spans="1:6" x14ac:dyDescent="0.25">
      <c r="A1625" s="4" t="str">
        <f>CONCATENATE("3071-0000-6478","")</f>
        <v>3071-0000-6478</v>
      </c>
      <c r="B1625" s="4" t="s">
        <v>7785</v>
      </c>
      <c r="C1625" s="5">
        <v>41489</v>
      </c>
      <c r="D1625" s="5">
        <v>41549</v>
      </c>
      <c r="E1625" s="4" t="s">
        <v>5185</v>
      </c>
      <c r="F1625" s="4" t="s">
        <v>5185</v>
      </c>
    </row>
    <row r="1626" spans="1:6" x14ac:dyDescent="0.25">
      <c r="A1626" s="4" t="str">
        <f>CONCATENATE("3071-0000-7425","")</f>
        <v>3071-0000-7425</v>
      </c>
      <c r="B1626" s="4" t="s">
        <v>4734</v>
      </c>
      <c r="C1626" s="5">
        <v>41489</v>
      </c>
      <c r="D1626" s="5">
        <v>41549</v>
      </c>
      <c r="E1626" s="4" t="s">
        <v>1410</v>
      </c>
      <c r="F1626" s="4" t="s">
        <v>1410</v>
      </c>
    </row>
    <row r="1627" spans="1:6" x14ac:dyDescent="0.25">
      <c r="A1627" s="4" t="str">
        <f>CONCATENATE("3071-0000-3264","")</f>
        <v>3071-0000-3264</v>
      </c>
      <c r="B1627" s="4" t="s">
        <v>1405</v>
      </c>
      <c r="C1627" s="5">
        <v>41489</v>
      </c>
      <c r="D1627" s="5">
        <v>41549</v>
      </c>
      <c r="E1627" s="4" t="s">
        <v>7</v>
      </c>
      <c r="F1627" s="4" t="s">
        <v>982</v>
      </c>
    </row>
    <row r="1628" spans="1:6" x14ac:dyDescent="0.25">
      <c r="A1628" s="4" t="str">
        <f>CONCATENATE("3071-0000-2857","")</f>
        <v>3071-0000-2857</v>
      </c>
      <c r="B1628" s="4" t="s">
        <v>1355</v>
      </c>
      <c r="C1628" s="5">
        <v>41489</v>
      </c>
      <c r="D1628" s="5">
        <v>41549</v>
      </c>
      <c r="E1628" s="4" t="s">
        <v>7</v>
      </c>
      <c r="F1628" s="4" t="s">
        <v>808</v>
      </c>
    </row>
    <row r="1629" spans="1:6" x14ac:dyDescent="0.25">
      <c r="A1629" s="4" t="str">
        <f>CONCATENATE("3071-0000-7680","")</f>
        <v>3071-0000-7680</v>
      </c>
      <c r="B1629" s="4" t="s">
        <v>5032</v>
      </c>
      <c r="C1629" s="5">
        <v>41489</v>
      </c>
      <c r="D1629" s="5">
        <v>41549</v>
      </c>
      <c r="E1629" s="4" t="s">
        <v>1410</v>
      </c>
      <c r="F1629" s="4" t="s">
        <v>4616</v>
      </c>
    </row>
    <row r="1630" spans="1:6" x14ac:dyDescent="0.25">
      <c r="A1630" s="4" t="str">
        <f>CONCATENATE("3071-0000-0770","")</f>
        <v>3071-0000-0770</v>
      </c>
      <c r="B1630" s="4" t="s">
        <v>42</v>
      </c>
      <c r="C1630" s="5">
        <v>41489</v>
      </c>
      <c r="D1630" s="5">
        <v>41549</v>
      </c>
      <c r="E1630" s="4" t="s">
        <v>7</v>
      </c>
      <c r="F1630" s="4" t="s">
        <v>7</v>
      </c>
    </row>
    <row r="1631" spans="1:6" x14ac:dyDescent="0.25">
      <c r="A1631" s="4" t="str">
        <f>CONCATENATE("3071-0000-0799","")</f>
        <v>3071-0000-0799</v>
      </c>
      <c r="B1631" s="4" t="s">
        <v>241</v>
      </c>
      <c r="C1631" s="5">
        <v>41489</v>
      </c>
      <c r="D1631" s="5">
        <v>41549</v>
      </c>
      <c r="E1631" s="4" t="s">
        <v>7</v>
      </c>
      <c r="F1631" s="4" t="s">
        <v>7</v>
      </c>
    </row>
    <row r="1632" spans="1:6" x14ac:dyDescent="0.25">
      <c r="A1632" s="4" t="str">
        <f>CONCATENATE("3071-0000-0383","")</f>
        <v>3071-0000-0383</v>
      </c>
      <c r="B1632" s="4" t="s">
        <v>181</v>
      </c>
      <c r="C1632" s="5">
        <v>41489</v>
      </c>
      <c r="D1632" s="5">
        <v>41549</v>
      </c>
      <c r="E1632" s="4" t="s">
        <v>7</v>
      </c>
      <c r="F1632" s="4" t="s">
        <v>7</v>
      </c>
    </row>
    <row r="1633" spans="1:6" x14ac:dyDescent="0.25">
      <c r="A1633" s="4" t="str">
        <f>CONCATENATE("3071-0000-7348","")</f>
        <v>3071-0000-7348</v>
      </c>
      <c r="B1633" s="4" t="s">
        <v>4800</v>
      </c>
      <c r="C1633" s="5">
        <v>41489</v>
      </c>
      <c r="D1633" s="5">
        <v>41549</v>
      </c>
      <c r="E1633" s="4" t="s">
        <v>1410</v>
      </c>
      <c r="F1633" s="4" t="s">
        <v>1410</v>
      </c>
    </row>
    <row r="1634" spans="1:6" x14ac:dyDescent="0.25">
      <c r="A1634" s="4" t="str">
        <f>CONCATENATE("3071-0000-0616","")</f>
        <v>3071-0000-0616</v>
      </c>
      <c r="B1634" s="4" t="s">
        <v>768</v>
      </c>
      <c r="C1634" s="5">
        <v>41489</v>
      </c>
      <c r="D1634" s="5">
        <v>41549</v>
      </c>
      <c r="E1634" s="4" t="s">
        <v>7</v>
      </c>
      <c r="F1634" s="4" t="s">
        <v>7</v>
      </c>
    </row>
    <row r="1635" spans="1:6" x14ac:dyDescent="0.25">
      <c r="A1635" s="4" t="str">
        <f>CONCATENATE("3071-0000-7124","")</f>
        <v>3071-0000-7124</v>
      </c>
      <c r="B1635" s="4" t="s">
        <v>4787</v>
      </c>
      <c r="C1635" s="5">
        <v>41489</v>
      </c>
      <c r="D1635" s="5">
        <v>41549</v>
      </c>
      <c r="E1635" s="4" t="s">
        <v>1410</v>
      </c>
      <c r="F1635" s="4" t="s">
        <v>1410</v>
      </c>
    </row>
    <row r="1636" spans="1:6" x14ac:dyDescent="0.25">
      <c r="A1636" s="4" t="str">
        <f>CONCATENATE("3071-0000-3528","")</f>
        <v>3071-0000-3528</v>
      </c>
      <c r="B1636" s="4" t="s">
        <v>1854</v>
      </c>
      <c r="C1636" s="5">
        <v>41489</v>
      </c>
      <c r="D1636" s="5">
        <v>41549</v>
      </c>
      <c r="E1636" s="4" t="s">
        <v>1410</v>
      </c>
      <c r="F1636" s="4" t="s">
        <v>1411</v>
      </c>
    </row>
    <row r="1637" spans="1:6" x14ac:dyDescent="0.25">
      <c r="A1637" s="4" t="str">
        <f>CONCATENATE("3071-0000-3765","")</f>
        <v>3071-0000-3765</v>
      </c>
      <c r="B1637" s="4" t="s">
        <v>1615</v>
      </c>
      <c r="C1637" s="5">
        <v>41489</v>
      </c>
      <c r="D1637" s="5">
        <v>41549</v>
      </c>
      <c r="E1637" s="4" t="s">
        <v>1410</v>
      </c>
      <c r="F1637" s="4" t="s">
        <v>1613</v>
      </c>
    </row>
    <row r="1638" spans="1:6" x14ac:dyDescent="0.25">
      <c r="A1638" s="4" t="str">
        <f>CONCATENATE("3071-0000-2985","")</f>
        <v>3071-0000-2985</v>
      </c>
      <c r="B1638" s="4" t="s">
        <v>1223</v>
      </c>
      <c r="C1638" s="5">
        <v>41489</v>
      </c>
      <c r="D1638" s="5">
        <v>41549</v>
      </c>
      <c r="E1638" s="4" t="s">
        <v>7</v>
      </c>
      <c r="F1638" s="4" t="s">
        <v>808</v>
      </c>
    </row>
    <row r="1639" spans="1:6" x14ac:dyDescent="0.25">
      <c r="A1639" s="4" t="str">
        <f>CONCATENATE("3071-0000-7528","")</f>
        <v>3071-0000-7528</v>
      </c>
      <c r="B1639" s="4" t="s">
        <v>4570</v>
      </c>
      <c r="C1639" s="5">
        <v>41489</v>
      </c>
      <c r="D1639" s="5">
        <v>41549</v>
      </c>
      <c r="E1639" s="4" t="s">
        <v>1410</v>
      </c>
      <c r="F1639" s="4" t="s">
        <v>1410</v>
      </c>
    </row>
    <row r="1640" spans="1:6" x14ac:dyDescent="0.25">
      <c r="A1640" s="4" t="str">
        <f>CONCATENATE("3071-0000-6021","")</f>
        <v>3071-0000-6021</v>
      </c>
      <c r="B1640" s="4" t="s">
        <v>7042</v>
      </c>
      <c r="C1640" s="5">
        <v>41489</v>
      </c>
      <c r="D1640" s="5">
        <v>41549</v>
      </c>
      <c r="E1640" s="4" t="s">
        <v>1410</v>
      </c>
      <c r="F1640" s="4" t="s">
        <v>6798</v>
      </c>
    </row>
    <row r="1641" spans="1:6" x14ac:dyDescent="0.25">
      <c r="A1641" s="4" t="str">
        <f>CONCATENATE("3071-0000-5912","")</f>
        <v>3071-0000-5912</v>
      </c>
      <c r="B1641" s="4" t="s">
        <v>6999</v>
      </c>
      <c r="C1641" s="5">
        <v>41489</v>
      </c>
      <c r="D1641" s="5">
        <v>41549</v>
      </c>
      <c r="E1641" s="4" t="s">
        <v>5185</v>
      </c>
      <c r="F1641" s="4" t="s">
        <v>5185</v>
      </c>
    </row>
    <row r="1642" spans="1:6" x14ac:dyDescent="0.25">
      <c r="A1642" s="4" t="str">
        <f>CONCATENATE("3071-0000-7167","")</f>
        <v>3071-0000-7167</v>
      </c>
      <c r="B1642" s="4" t="s">
        <v>5070</v>
      </c>
      <c r="C1642" s="5">
        <v>41489</v>
      </c>
      <c r="D1642" s="5">
        <v>41549</v>
      </c>
      <c r="E1642" s="4" t="s">
        <v>1410</v>
      </c>
      <c r="F1642" s="4" t="s">
        <v>1410</v>
      </c>
    </row>
    <row r="1643" spans="1:6" x14ac:dyDescent="0.25">
      <c r="A1643" s="4" t="str">
        <f>CONCATENATE("3071-0000-7551","")</f>
        <v>3071-0000-7551</v>
      </c>
      <c r="B1643" s="4" t="s">
        <v>4506</v>
      </c>
      <c r="C1643" s="5">
        <v>41489</v>
      </c>
      <c r="D1643" s="5">
        <v>41549</v>
      </c>
      <c r="E1643" s="4" t="s">
        <v>1410</v>
      </c>
      <c r="F1643" s="4" t="s">
        <v>1410</v>
      </c>
    </row>
    <row r="1644" spans="1:6" x14ac:dyDescent="0.25">
      <c r="A1644" s="4" t="str">
        <f>CONCATENATE("3071-0000-5776","")</f>
        <v>3071-0000-5776</v>
      </c>
      <c r="B1644" s="4" t="s">
        <v>7012</v>
      </c>
      <c r="C1644" s="5">
        <v>41489</v>
      </c>
      <c r="D1644" s="5">
        <v>41549</v>
      </c>
      <c r="E1644" s="4" t="s">
        <v>5185</v>
      </c>
      <c r="F1644" s="4" t="s">
        <v>5185</v>
      </c>
    </row>
    <row r="1645" spans="1:6" x14ac:dyDescent="0.25">
      <c r="A1645" s="4" t="str">
        <f>CONCATENATE("3071-0000-5569","")</f>
        <v>3071-0000-5569</v>
      </c>
      <c r="B1645" s="4" t="s">
        <v>6988</v>
      </c>
      <c r="C1645" s="5">
        <v>41489</v>
      </c>
      <c r="D1645" s="5">
        <v>41549</v>
      </c>
      <c r="E1645" s="4" t="s">
        <v>5185</v>
      </c>
      <c r="F1645" s="4" t="s">
        <v>5185</v>
      </c>
    </row>
    <row r="1646" spans="1:6" x14ac:dyDescent="0.25">
      <c r="A1646" s="4" t="str">
        <f>CONCATENATE("3071-0000-6016","")</f>
        <v>3071-0000-6016</v>
      </c>
      <c r="B1646" s="4" t="s">
        <v>7001</v>
      </c>
      <c r="C1646" s="5">
        <v>41489</v>
      </c>
      <c r="D1646" s="5">
        <v>41549</v>
      </c>
      <c r="E1646" s="4" t="s">
        <v>1410</v>
      </c>
      <c r="F1646" s="4" t="s">
        <v>6798</v>
      </c>
    </row>
    <row r="1647" spans="1:6" x14ac:dyDescent="0.25">
      <c r="A1647" s="4" t="str">
        <f>CONCATENATE("3071-0000-9079","")</f>
        <v>3071-0000-9079</v>
      </c>
      <c r="B1647" s="4" t="s">
        <v>5249</v>
      </c>
      <c r="C1647" s="5">
        <v>41489</v>
      </c>
      <c r="D1647" s="5">
        <v>41549</v>
      </c>
      <c r="E1647" s="4" t="s">
        <v>5185</v>
      </c>
      <c r="F1647" s="4" t="s">
        <v>5250</v>
      </c>
    </row>
    <row r="1648" spans="1:6" x14ac:dyDescent="0.25">
      <c r="A1648" s="4" t="str">
        <f>CONCATENATE("3071-0000-1686","")</f>
        <v>3071-0000-1686</v>
      </c>
      <c r="B1648" s="4" t="s">
        <v>2893</v>
      </c>
      <c r="C1648" s="5">
        <v>41489</v>
      </c>
      <c r="D1648" s="5">
        <v>41549</v>
      </c>
      <c r="E1648" s="4" t="s">
        <v>1381</v>
      </c>
      <c r="F1648" s="4" t="s">
        <v>2840</v>
      </c>
    </row>
    <row r="1649" spans="1:6" x14ac:dyDescent="0.25">
      <c r="A1649" s="4" t="str">
        <f>CONCATENATE("3071-0000-1501","")</f>
        <v>3071-0000-1501</v>
      </c>
      <c r="B1649" s="4" t="s">
        <v>2790</v>
      </c>
      <c r="C1649" s="5">
        <v>41489</v>
      </c>
      <c r="D1649" s="5">
        <v>41549</v>
      </c>
      <c r="E1649" s="4" t="s">
        <v>1381</v>
      </c>
      <c r="F1649" s="4" t="s">
        <v>2303</v>
      </c>
    </row>
    <row r="1650" spans="1:6" x14ac:dyDescent="0.25">
      <c r="A1650" s="4" t="str">
        <f>CONCATENATE("3071-0000-9408","")</f>
        <v>3071-0000-9408</v>
      </c>
      <c r="B1650" s="4" t="s">
        <v>8491</v>
      </c>
      <c r="C1650" s="5">
        <v>41489</v>
      </c>
      <c r="D1650" s="5">
        <v>41549</v>
      </c>
      <c r="E1650" s="4" t="s">
        <v>1410</v>
      </c>
      <c r="F1650" s="4" t="s">
        <v>4459</v>
      </c>
    </row>
    <row r="1651" spans="1:6" x14ac:dyDescent="0.25">
      <c r="A1651" s="4" t="str">
        <f>CONCATENATE("3071-0000-8042","")</f>
        <v>3071-0000-8042</v>
      </c>
      <c r="B1651" s="4" t="s">
        <v>5784</v>
      </c>
      <c r="C1651" s="5">
        <v>41489</v>
      </c>
      <c r="D1651" s="5">
        <v>41549</v>
      </c>
      <c r="E1651" s="4" t="s">
        <v>5185</v>
      </c>
      <c r="F1651" s="4" t="s">
        <v>5185</v>
      </c>
    </row>
    <row r="1652" spans="1:6" x14ac:dyDescent="0.25">
      <c r="A1652" s="4" t="str">
        <f>CONCATENATE("3071-0000-8257","")</f>
        <v>3071-0000-8257</v>
      </c>
      <c r="B1652" s="4" t="s">
        <v>5846</v>
      </c>
      <c r="C1652" s="5">
        <v>41489</v>
      </c>
      <c r="D1652" s="5">
        <v>41549</v>
      </c>
      <c r="E1652" s="4" t="s">
        <v>5185</v>
      </c>
      <c r="F1652" s="4" t="s">
        <v>5185</v>
      </c>
    </row>
    <row r="1653" spans="1:6" x14ac:dyDescent="0.25">
      <c r="A1653" s="4" t="str">
        <f>CONCATENATE("3071-0000-8331","")</f>
        <v>3071-0000-8331</v>
      </c>
      <c r="B1653" s="4" t="s">
        <v>5858</v>
      </c>
      <c r="C1653" s="5">
        <v>41489</v>
      </c>
      <c r="D1653" s="5">
        <v>41549</v>
      </c>
      <c r="E1653" s="4" t="s">
        <v>5185</v>
      </c>
      <c r="F1653" s="4" t="s">
        <v>5185</v>
      </c>
    </row>
    <row r="1654" spans="1:6" x14ac:dyDescent="0.25">
      <c r="A1654" s="4" t="str">
        <f>CONCATENATE("3071-0000-8200","")</f>
        <v>3071-0000-8200</v>
      </c>
      <c r="B1654" s="4" t="s">
        <v>5843</v>
      </c>
      <c r="C1654" s="5">
        <v>41489</v>
      </c>
      <c r="D1654" s="5">
        <v>41549</v>
      </c>
      <c r="E1654" s="4" t="s">
        <v>5185</v>
      </c>
      <c r="F1654" s="4" t="s">
        <v>5185</v>
      </c>
    </row>
    <row r="1655" spans="1:6" x14ac:dyDescent="0.25">
      <c r="A1655" s="4" t="str">
        <f>CONCATENATE("3071-0000-8385","")</f>
        <v>3071-0000-8385</v>
      </c>
      <c r="B1655" s="4" t="s">
        <v>5803</v>
      </c>
      <c r="C1655" s="5">
        <v>41489</v>
      </c>
      <c r="D1655" s="5">
        <v>41549</v>
      </c>
      <c r="E1655" s="4" t="s">
        <v>5185</v>
      </c>
      <c r="F1655" s="4" t="s">
        <v>5185</v>
      </c>
    </row>
    <row r="1656" spans="1:6" x14ac:dyDescent="0.25">
      <c r="A1656" s="4" t="str">
        <f>CONCATENATE("3071-0000-9450","")</f>
        <v>3071-0000-9450</v>
      </c>
      <c r="B1656" s="4" t="s">
        <v>8502</v>
      </c>
      <c r="C1656" s="5">
        <v>41489</v>
      </c>
      <c r="D1656" s="5">
        <v>41549</v>
      </c>
      <c r="E1656" s="4" t="s">
        <v>1410</v>
      </c>
      <c r="F1656" s="4" t="s">
        <v>4459</v>
      </c>
    </row>
    <row r="1657" spans="1:6" x14ac:dyDescent="0.25">
      <c r="A1657" s="4" t="str">
        <f>CONCATENATE("3071-0000-7087","")</f>
        <v>3071-0000-7087</v>
      </c>
      <c r="B1657" s="4" t="s">
        <v>4863</v>
      </c>
      <c r="C1657" s="5">
        <v>41489</v>
      </c>
      <c r="D1657" s="5">
        <v>41549</v>
      </c>
      <c r="E1657" s="4" t="s">
        <v>1410</v>
      </c>
      <c r="F1657" s="4" t="s">
        <v>1410</v>
      </c>
    </row>
    <row r="1658" spans="1:6" x14ac:dyDescent="0.25">
      <c r="A1658" s="4" t="str">
        <f>CONCATENATE("3071-0000-7855","")</f>
        <v>3071-0000-7855</v>
      </c>
      <c r="B1658" s="4" t="s">
        <v>5835</v>
      </c>
      <c r="C1658" s="5">
        <v>41489</v>
      </c>
      <c r="D1658" s="5">
        <v>41549</v>
      </c>
      <c r="E1658" s="4" t="s">
        <v>5185</v>
      </c>
      <c r="F1658" s="4" t="s">
        <v>5185</v>
      </c>
    </row>
    <row r="1659" spans="1:6" x14ac:dyDescent="0.25">
      <c r="A1659" s="4" t="str">
        <f>CONCATENATE("3071-0000-8203","")</f>
        <v>3071-0000-8203</v>
      </c>
      <c r="B1659" s="4" t="s">
        <v>5834</v>
      </c>
      <c r="C1659" s="5">
        <v>41489</v>
      </c>
      <c r="D1659" s="5">
        <v>41549</v>
      </c>
      <c r="E1659" s="4" t="s">
        <v>5185</v>
      </c>
      <c r="F1659" s="4" t="s">
        <v>5185</v>
      </c>
    </row>
    <row r="1660" spans="1:6" x14ac:dyDescent="0.25">
      <c r="A1660" s="4" t="str">
        <f>CONCATENATE("3071-0000-9520","")</f>
        <v>3071-0000-9520</v>
      </c>
      <c r="B1660" s="4" t="s">
        <v>8523</v>
      </c>
      <c r="C1660" s="5">
        <v>41489</v>
      </c>
      <c r="D1660" s="5">
        <v>41549</v>
      </c>
      <c r="E1660" s="4" t="s">
        <v>1410</v>
      </c>
      <c r="F1660" s="4" t="s">
        <v>4459</v>
      </c>
    </row>
    <row r="1661" spans="1:6" x14ac:dyDescent="0.25">
      <c r="A1661" s="4" t="str">
        <f>CONCATENATE("3071-0000-9610","")</f>
        <v>3071-0000-9610</v>
      </c>
      <c r="B1661" s="4" t="s">
        <v>8445</v>
      </c>
      <c r="C1661" s="5">
        <v>41489</v>
      </c>
      <c r="D1661" s="5">
        <v>41549</v>
      </c>
      <c r="E1661" s="4" t="s">
        <v>1410</v>
      </c>
      <c r="F1661" s="4" t="s">
        <v>4459</v>
      </c>
    </row>
    <row r="1662" spans="1:6" x14ac:dyDescent="0.25">
      <c r="A1662" s="4" t="str">
        <f>CONCATENATE("3071-0000-6336","")</f>
        <v>3071-0000-6336</v>
      </c>
      <c r="B1662" s="4" t="s">
        <v>7342</v>
      </c>
      <c r="C1662" s="5">
        <v>41489</v>
      </c>
      <c r="D1662" s="5">
        <v>41549</v>
      </c>
      <c r="E1662" s="4" t="s">
        <v>1410</v>
      </c>
      <c r="F1662" s="4" t="s">
        <v>7309</v>
      </c>
    </row>
    <row r="1663" spans="1:6" x14ac:dyDescent="0.25">
      <c r="A1663" s="4" t="str">
        <f>CONCATENATE("3071-0000-5845","")</f>
        <v>3071-0000-5845</v>
      </c>
      <c r="B1663" s="4" t="s">
        <v>7348</v>
      </c>
      <c r="C1663" s="5">
        <v>41489</v>
      </c>
      <c r="D1663" s="5">
        <v>41549</v>
      </c>
      <c r="E1663" s="4" t="s">
        <v>5185</v>
      </c>
      <c r="F1663" s="4" t="s">
        <v>5185</v>
      </c>
    </row>
    <row r="1664" spans="1:6" x14ac:dyDescent="0.25">
      <c r="A1664" s="4" t="str">
        <f>CONCATENATE("3071-0000-5542","")</f>
        <v>3071-0000-5542</v>
      </c>
      <c r="B1664" s="4" t="s">
        <v>7322</v>
      </c>
      <c r="C1664" s="5">
        <v>41489</v>
      </c>
      <c r="D1664" s="5">
        <v>41549</v>
      </c>
      <c r="E1664" s="4" t="s">
        <v>5185</v>
      </c>
      <c r="F1664" s="4" t="s">
        <v>5185</v>
      </c>
    </row>
    <row r="1665" spans="1:6" x14ac:dyDescent="0.25">
      <c r="A1665" s="4" t="str">
        <f>CONCATENATE("3071-0000-5552","")</f>
        <v>3071-0000-5552</v>
      </c>
      <c r="B1665" s="4" t="s">
        <v>7317</v>
      </c>
      <c r="C1665" s="5">
        <v>41489</v>
      </c>
      <c r="D1665" s="5">
        <v>41549</v>
      </c>
      <c r="E1665" s="4" t="s">
        <v>5185</v>
      </c>
      <c r="F1665" s="4" t="s">
        <v>5185</v>
      </c>
    </row>
    <row r="1666" spans="1:6" x14ac:dyDescent="0.25">
      <c r="A1666" s="4" t="str">
        <f>CONCATENATE("3071-0000-5870","")</f>
        <v>3071-0000-5870</v>
      </c>
      <c r="B1666" s="4" t="s">
        <v>7383</v>
      </c>
      <c r="C1666" s="5">
        <v>41489</v>
      </c>
      <c r="D1666" s="5">
        <v>41549</v>
      </c>
      <c r="E1666" s="4" t="s">
        <v>5185</v>
      </c>
      <c r="F1666" s="4" t="s">
        <v>5185</v>
      </c>
    </row>
    <row r="1667" spans="1:6" x14ac:dyDescent="0.25">
      <c r="A1667" s="4" t="str">
        <f>CONCATENATE("3071-0000-8566","")</f>
        <v>3071-0000-8566</v>
      </c>
      <c r="B1667" s="4" t="s">
        <v>5750</v>
      </c>
      <c r="C1667" s="5">
        <v>41489</v>
      </c>
      <c r="D1667" s="5">
        <v>41549</v>
      </c>
      <c r="E1667" s="4" t="s">
        <v>5185</v>
      </c>
      <c r="F1667" s="4" t="s">
        <v>5250</v>
      </c>
    </row>
    <row r="1668" spans="1:6" x14ac:dyDescent="0.25">
      <c r="A1668" s="4" t="str">
        <f>CONCATENATE("3071-0000-1455","")</f>
        <v>3071-0000-1455</v>
      </c>
      <c r="B1668" s="4" t="s">
        <v>2694</v>
      </c>
      <c r="C1668" s="5">
        <v>41489</v>
      </c>
      <c r="D1668" s="5">
        <v>41549</v>
      </c>
      <c r="E1668" s="4" t="s">
        <v>1381</v>
      </c>
      <c r="F1668" s="4" t="s">
        <v>2303</v>
      </c>
    </row>
    <row r="1669" spans="1:6" x14ac:dyDescent="0.25">
      <c r="A1669" s="4" t="str">
        <f>CONCATENATE("3071-0000-9036","")</f>
        <v>3071-0000-9036</v>
      </c>
      <c r="B1669" s="4" t="s">
        <v>5732</v>
      </c>
      <c r="C1669" s="5">
        <v>41489</v>
      </c>
      <c r="D1669" s="5">
        <v>41549</v>
      </c>
      <c r="E1669" s="4" t="s">
        <v>5185</v>
      </c>
      <c r="F1669" s="4" t="s">
        <v>5250</v>
      </c>
    </row>
    <row r="1670" spans="1:6" x14ac:dyDescent="0.25">
      <c r="A1670" s="4" t="str">
        <f>CONCATENATE("3071-0000-9111","")</f>
        <v>3071-0000-9111</v>
      </c>
      <c r="B1670" s="4" t="s">
        <v>5287</v>
      </c>
      <c r="C1670" s="5">
        <v>41489</v>
      </c>
      <c r="D1670" s="5">
        <v>41549</v>
      </c>
      <c r="E1670" s="4" t="s">
        <v>5185</v>
      </c>
      <c r="F1670" s="4" t="s">
        <v>5185</v>
      </c>
    </row>
    <row r="1671" spans="1:6" x14ac:dyDescent="0.25">
      <c r="A1671" s="4" t="str">
        <f>CONCATENATE("3071-0000-8289","")</f>
        <v>3071-0000-8289</v>
      </c>
      <c r="B1671" s="4" t="s">
        <v>6228</v>
      </c>
      <c r="C1671" s="5">
        <v>41489</v>
      </c>
      <c r="D1671" s="5">
        <v>41549</v>
      </c>
      <c r="E1671" s="4" t="s">
        <v>5185</v>
      </c>
      <c r="F1671" s="4" t="s">
        <v>5185</v>
      </c>
    </row>
    <row r="1672" spans="1:6" x14ac:dyDescent="0.25">
      <c r="A1672" s="4" t="str">
        <f>CONCATENATE("3071-0000-9112","")</f>
        <v>3071-0000-9112</v>
      </c>
      <c r="B1672" s="4" t="s">
        <v>5286</v>
      </c>
      <c r="C1672" s="5">
        <v>41489</v>
      </c>
      <c r="D1672" s="5">
        <v>41549</v>
      </c>
      <c r="E1672" s="4" t="s">
        <v>5185</v>
      </c>
      <c r="F1672" s="4" t="s">
        <v>5185</v>
      </c>
    </row>
    <row r="1673" spans="1:6" x14ac:dyDescent="0.25">
      <c r="A1673" s="4" t="str">
        <f>CONCATENATE("3071-0000-8294","")</f>
        <v>3071-0000-8294</v>
      </c>
      <c r="B1673" s="4" t="s">
        <v>6234</v>
      </c>
      <c r="C1673" s="5">
        <v>41489</v>
      </c>
      <c r="D1673" s="5">
        <v>41549</v>
      </c>
      <c r="E1673" s="4" t="s">
        <v>5185</v>
      </c>
      <c r="F1673" s="4" t="s">
        <v>5185</v>
      </c>
    </row>
    <row r="1674" spans="1:6" x14ac:dyDescent="0.25">
      <c r="A1674" s="4" t="str">
        <f>CONCATENATE("3071-0000-8273","")</f>
        <v>3071-0000-8273</v>
      </c>
      <c r="B1674" s="4" t="s">
        <v>6211</v>
      </c>
      <c r="C1674" s="5">
        <v>41489</v>
      </c>
      <c r="D1674" s="5">
        <v>41549</v>
      </c>
      <c r="E1674" s="4" t="s">
        <v>5185</v>
      </c>
      <c r="F1674" s="4" t="s">
        <v>5185</v>
      </c>
    </row>
    <row r="1675" spans="1:6" x14ac:dyDescent="0.25">
      <c r="A1675" s="4" t="str">
        <f>CONCATENATE("3071-0000-9107","")</f>
        <v>3071-0000-9107</v>
      </c>
      <c r="B1675" s="4" t="s">
        <v>5290</v>
      </c>
      <c r="C1675" s="5">
        <v>41489</v>
      </c>
      <c r="D1675" s="5">
        <v>41549</v>
      </c>
      <c r="E1675" s="4" t="s">
        <v>5185</v>
      </c>
      <c r="F1675" s="4" t="s">
        <v>5185</v>
      </c>
    </row>
    <row r="1676" spans="1:6" x14ac:dyDescent="0.25">
      <c r="A1676" s="4" t="str">
        <f>CONCATENATE("3071-0000-8235","")</f>
        <v>3071-0000-8235</v>
      </c>
      <c r="B1676" s="4" t="s">
        <v>5731</v>
      </c>
      <c r="C1676" s="5">
        <v>41489</v>
      </c>
      <c r="D1676" s="5">
        <v>41549</v>
      </c>
      <c r="E1676" s="4" t="s">
        <v>5185</v>
      </c>
      <c r="F1676" s="4" t="s">
        <v>5185</v>
      </c>
    </row>
    <row r="1677" spans="1:6" x14ac:dyDescent="0.25">
      <c r="A1677" s="4" t="str">
        <f>CONCATENATE("3071-0000-0356","")</f>
        <v>3071-0000-0356</v>
      </c>
      <c r="B1677" s="4" t="s">
        <v>243</v>
      </c>
      <c r="C1677" s="5">
        <v>41489</v>
      </c>
      <c r="D1677" s="5">
        <v>41549</v>
      </c>
      <c r="E1677" s="4" t="s">
        <v>7</v>
      </c>
      <c r="F1677" s="4" t="s">
        <v>7</v>
      </c>
    </row>
    <row r="1678" spans="1:6" x14ac:dyDescent="0.25">
      <c r="A1678" s="4" t="str">
        <f>CONCATENATE("3071-0000-0624","")</f>
        <v>3071-0000-0624</v>
      </c>
      <c r="B1678" s="4" t="s">
        <v>777</v>
      </c>
      <c r="C1678" s="5">
        <v>41489</v>
      </c>
      <c r="D1678" s="5">
        <v>41549</v>
      </c>
      <c r="E1678" s="4" t="s">
        <v>7</v>
      </c>
      <c r="F1678" s="4" t="s">
        <v>7</v>
      </c>
    </row>
    <row r="1679" spans="1:6" x14ac:dyDescent="0.25">
      <c r="A1679" s="4" t="str">
        <f>CONCATENATE("3071-0000-5671","")</f>
        <v>3071-0000-5671</v>
      </c>
      <c r="B1679" s="4" t="s">
        <v>6969</v>
      </c>
      <c r="C1679" s="5">
        <v>41489</v>
      </c>
      <c r="D1679" s="5">
        <v>41549</v>
      </c>
      <c r="E1679" s="4" t="s">
        <v>5185</v>
      </c>
      <c r="F1679" s="4" t="s">
        <v>5185</v>
      </c>
    </row>
    <row r="1680" spans="1:6" x14ac:dyDescent="0.25">
      <c r="A1680" s="4" t="str">
        <f>CONCATENATE("3071-0000-7209","")</f>
        <v>3071-0000-7209</v>
      </c>
      <c r="B1680" s="4" t="s">
        <v>5107</v>
      </c>
      <c r="C1680" s="5">
        <v>41489</v>
      </c>
      <c r="D1680" s="5">
        <v>41549</v>
      </c>
      <c r="E1680" s="4" t="s">
        <v>1410</v>
      </c>
      <c r="F1680" s="4" t="s">
        <v>1410</v>
      </c>
    </row>
    <row r="1681" spans="1:6" x14ac:dyDescent="0.25">
      <c r="A1681" s="4" t="str">
        <f>CONCATENATE("3071-0000-5936","")</f>
        <v>3071-0000-5936</v>
      </c>
      <c r="B1681" s="4" t="s">
        <v>6970</v>
      </c>
      <c r="C1681" s="5">
        <v>41489</v>
      </c>
      <c r="D1681" s="5">
        <v>41549</v>
      </c>
      <c r="E1681" s="4" t="s">
        <v>5185</v>
      </c>
      <c r="F1681" s="4" t="s">
        <v>5185</v>
      </c>
    </row>
    <row r="1682" spans="1:6" x14ac:dyDescent="0.25">
      <c r="A1682" s="4" t="str">
        <f>CONCATENATE("3071-0000-2702","")</f>
        <v>3071-0000-2702</v>
      </c>
      <c r="B1682" s="4" t="s">
        <v>3087</v>
      </c>
      <c r="C1682" s="5">
        <v>41489</v>
      </c>
      <c r="D1682" s="5">
        <v>41549</v>
      </c>
      <c r="E1682" s="4" t="s">
        <v>2944</v>
      </c>
      <c r="F1682" s="4" t="s">
        <v>2945</v>
      </c>
    </row>
    <row r="1683" spans="1:6" x14ac:dyDescent="0.25">
      <c r="A1683" s="4" t="str">
        <f>CONCATENATE("3071-0000-0822","")</f>
        <v>3071-0000-0822</v>
      </c>
      <c r="B1683" s="4" t="s">
        <v>1882</v>
      </c>
      <c r="C1683" s="5">
        <v>41489</v>
      </c>
      <c r="D1683" s="5">
        <v>41549</v>
      </c>
      <c r="E1683" s="4" t="s">
        <v>1857</v>
      </c>
      <c r="F1683" s="4" t="s">
        <v>1857</v>
      </c>
    </row>
    <row r="1684" spans="1:6" x14ac:dyDescent="0.25">
      <c r="A1684" s="4" t="str">
        <f>CONCATENATE("3071-0000-2932","")</f>
        <v>3071-0000-2932</v>
      </c>
      <c r="B1684" s="4" t="s">
        <v>1343</v>
      </c>
      <c r="C1684" s="5">
        <v>41489</v>
      </c>
      <c r="D1684" s="5">
        <v>41549</v>
      </c>
      <c r="E1684" s="4" t="s">
        <v>7</v>
      </c>
      <c r="F1684" s="4" t="s">
        <v>808</v>
      </c>
    </row>
    <row r="1685" spans="1:6" x14ac:dyDescent="0.25">
      <c r="A1685" s="4" t="str">
        <f>CONCATENATE("3071-0000-2926","")</f>
        <v>3071-0000-2926</v>
      </c>
      <c r="B1685" s="4" t="s">
        <v>1340</v>
      </c>
      <c r="C1685" s="5">
        <v>41489</v>
      </c>
      <c r="D1685" s="5">
        <v>41549</v>
      </c>
      <c r="E1685" s="4" t="s">
        <v>7</v>
      </c>
      <c r="F1685" s="4" t="s">
        <v>808</v>
      </c>
    </row>
    <row r="1686" spans="1:6" x14ac:dyDescent="0.25">
      <c r="A1686" s="4" t="str">
        <f>CONCATENATE("3071-0000-3700","")</f>
        <v>3071-0000-3700</v>
      </c>
      <c r="B1686" s="4" t="s">
        <v>1804</v>
      </c>
      <c r="C1686" s="5">
        <v>41489</v>
      </c>
      <c r="D1686" s="5">
        <v>41549</v>
      </c>
      <c r="E1686" s="4" t="s">
        <v>1410</v>
      </c>
      <c r="F1686" s="4" t="s">
        <v>1411</v>
      </c>
    </row>
    <row r="1687" spans="1:6" x14ac:dyDescent="0.25">
      <c r="A1687" s="4" t="str">
        <f>CONCATENATE("3071-0000-3693","")</f>
        <v>3071-0000-3693</v>
      </c>
      <c r="B1687" s="4" t="s">
        <v>1821</v>
      </c>
      <c r="C1687" s="5">
        <v>41489</v>
      </c>
      <c r="D1687" s="5">
        <v>41549</v>
      </c>
      <c r="E1687" s="4" t="s">
        <v>1410</v>
      </c>
      <c r="F1687" s="4" t="s">
        <v>1411</v>
      </c>
    </row>
    <row r="1688" spans="1:6" x14ac:dyDescent="0.25">
      <c r="A1688" s="4" t="str">
        <f>CONCATENATE("3071-0000-2972","")</f>
        <v>3071-0000-2972</v>
      </c>
      <c r="B1688" s="4" t="s">
        <v>1101</v>
      </c>
      <c r="C1688" s="5">
        <v>41489</v>
      </c>
      <c r="D1688" s="5">
        <v>41549</v>
      </c>
      <c r="E1688" s="4" t="s">
        <v>7</v>
      </c>
      <c r="F1688" s="4" t="s">
        <v>808</v>
      </c>
    </row>
    <row r="1689" spans="1:6" x14ac:dyDescent="0.25">
      <c r="A1689" s="4" t="str">
        <f>CONCATENATE("3071-0000-0353","")</f>
        <v>3071-0000-0353</v>
      </c>
      <c r="B1689" s="4" t="s">
        <v>116</v>
      </c>
      <c r="C1689" s="5">
        <v>41489</v>
      </c>
      <c r="D1689" s="5">
        <v>41549</v>
      </c>
      <c r="E1689" s="4" t="s">
        <v>7</v>
      </c>
      <c r="F1689" s="4" t="s">
        <v>7</v>
      </c>
    </row>
    <row r="1690" spans="1:6" x14ac:dyDescent="0.25">
      <c r="A1690" s="4" t="str">
        <f>CONCATENATE("3071-0000-0785","")</f>
        <v>3071-0000-0785</v>
      </c>
      <c r="B1690" s="4" t="s">
        <v>16</v>
      </c>
      <c r="C1690" s="5">
        <v>41489</v>
      </c>
      <c r="D1690" s="5">
        <v>41549</v>
      </c>
      <c r="E1690" s="4" t="s">
        <v>7</v>
      </c>
      <c r="F1690" s="4" t="s">
        <v>7</v>
      </c>
    </row>
    <row r="1691" spans="1:6" x14ac:dyDescent="0.25">
      <c r="A1691" s="4" t="str">
        <f>CONCATENATE("3071-0000-3234","")</f>
        <v>3071-0000-3234</v>
      </c>
      <c r="B1691" s="4" t="s">
        <v>1207</v>
      </c>
      <c r="C1691" s="5">
        <v>41489</v>
      </c>
      <c r="D1691" s="5">
        <v>41549</v>
      </c>
      <c r="E1691" s="4" t="s">
        <v>7</v>
      </c>
      <c r="F1691" s="4" t="s">
        <v>808</v>
      </c>
    </row>
    <row r="1692" spans="1:6" x14ac:dyDescent="0.25">
      <c r="A1692" s="4" t="str">
        <f>CONCATENATE("3071-0000-2962","")</f>
        <v>3071-0000-2962</v>
      </c>
      <c r="B1692" s="4" t="s">
        <v>1313</v>
      </c>
      <c r="C1692" s="5">
        <v>41489</v>
      </c>
      <c r="D1692" s="5">
        <v>41549</v>
      </c>
      <c r="E1692" s="4" t="s">
        <v>7</v>
      </c>
      <c r="F1692" s="4" t="s">
        <v>808</v>
      </c>
    </row>
    <row r="1693" spans="1:6" x14ac:dyDescent="0.25">
      <c r="A1693" s="4" t="str">
        <f>CONCATENATE("3071-0000-9186","")</f>
        <v>3071-0000-9186</v>
      </c>
      <c r="B1693" s="4" t="s">
        <v>6168</v>
      </c>
      <c r="C1693" s="5">
        <v>41489</v>
      </c>
      <c r="D1693" s="5">
        <v>41549</v>
      </c>
      <c r="E1693" s="4" t="s">
        <v>5185</v>
      </c>
      <c r="F1693" s="4" t="s">
        <v>5945</v>
      </c>
    </row>
    <row r="1694" spans="1:6" x14ac:dyDescent="0.25">
      <c r="A1694" s="4" t="str">
        <f>CONCATENATE("3071-0000-0780","")</f>
        <v>3071-0000-0780</v>
      </c>
      <c r="B1694" s="4" t="s">
        <v>459</v>
      </c>
      <c r="C1694" s="5">
        <v>41489</v>
      </c>
      <c r="D1694" s="5">
        <v>41549</v>
      </c>
      <c r="E1694" s="4" t="s">
        <v>7</v>
      </c>
      <c r="F1694" s="4" t="s">
        <v>7</v>
      </c>
    </row>
    <row r="1695" spans="1:6" x14ac:dyDescent="0.25">
      <c r="A1695" s="4" t="str">
        <f>CONCATENATE("3071-0000-1677","")</f>
        <v>3071-0000-1677</v>
      </c>
      <c r="B1695" s="4" t="s">
        <v>2591</v>
      </c>
      <c r="C1695" s="5">
        <v>41489</v>
      </c>
      <c r="D1695" s="5">
        <v>41549</v>
      </c>
      <c r="E1695" s="4" t="s">
        <v>1381</v>
      </c>
      <c r="F1695" s="4" t="s">
        <v>2303</v>
      </c>
    </row>
    <row r="1696" spans="1:6" x14ac:dyDescent="0.25">
      <c r="A1696" s="4" t="str">
        <f>CONCATENATE("3071-0000-3123","")</f>
        <v>3071-0000-3123</v>
      </c>
      <c r="B1696" s="4" t="s">
        <v>845</v>
      </c>
      <c r="C1696" s="5">
        <v>41489</v>
      </c>
      <c r="D1696" s="5">
        <v>41549</v>
      </c>
      <c r="E1696" s="4" t="s">
        <v>7</v>
      </c>
      <c r="F1696" s="4" t="s">
        <v>812</v>
      </c>
    </row>
    <row r="1697" spans="1:6" x14ac:dyDescent="0.25">
      <c r="A1697" s="4" t="str">
        <f>CONCATENATE("3071-0000-3157","")</f>
        <v>3071-0000-3157</v>
      </c>
      <c r="B1697" s="4" t="s">
        <v>9696</v>
      </c>
      <c r="C1697" s="5">
        <v>41489</v>
      </c>
      <c r="D1697" s="5">
        <v>41549</v>
      </c>
      <c r="E1697" s="4" t="s">
        <v>7</v>
      </c>
      <c r="F1697" s="4" t="s">
        <v>812</v>
      </c>
    </row>
    <row r="1698" spans="1:6" x14ac:dyDescent="0.25">
      <c r="A1698" s="4" t="str">
        <f>CONCATENATE("3071-0000-3020","")</f>
        <v>3071-0000-3020</v>
      </c>
      <c r="B1698" s="4" t="s">
        <v>1232</v>
      </c>
      <c r="C1698" s="5">
        <v>41489</v>
      </c>
      <c r="D1698" s="5">
        <v>41549</v>
      </c>
      <c r="E1698" s="4" t="s">
        <v>7</v>
      </c>
      <c r="F1698" s="4" t="s">
        <v>808</v>
      </c>
    </row>
    <row r="1699" spans="1:6" x14ac:dyDescent="0.25">
      <c r="A1699" s="4" t="str">
        <f>CONCATENATE("3071-0000-0950","")</f>
        <v>3071-0000-0950</v>
      </c>
      <c r="B1699" s="4" t="s">
        <v>2170</v>
      </c>
      <c r="C1699" s="5">
        <v>41489</v>
      </c>
      <c r="D1699" s="5">
        <v>41549</v>
      </c>
      <c r="E1699" s="4" t="s">
        <v>1857</v>
      </c>
      <c r="F1699" s="4" t="s">
        <v>1857</v>
      </c>
    </row>
    <row r="1700" spans="1:6" x14ac:dyDescent="0.25">
      <c r="A1700" s="4" t="str">
        <f>CONCATENATE("3071-0000-0571","")</f>
        <v>3071-0000-0571</v>
      </c>
      <c r="B1700" s="4" t="s">
        <v>15</v>
      </c>
      <c r="C1700" s="5">
        <v>41489</v>
      </c>
      <c r="D1700" s="5">
        <v>41549</v>
      </c>
      <c r="E1700" s="4" t="s">
        <v>7</v>
      </c>
      <c r="F1700" s="4" t="s">
        <v>7</v>
      </c>
    </row>
    <row r="1701" spans="1:6" x14ac:dyDescent="0.25">
      <c r="A1701" s="4" t="str">
        <f>CONCATENATE("3071-0000-0596","")</f>
        <v>3071-0000-0596</v>
      </c>
      <c r="B1701" s="4" t="s">
        <v>645</v>
      </c>
      <c r="C1701" s="5">
        <v>41489</v>
      </c>
      <c r="D1701" s="5">
        <v>41549</v>
      </c>
      <c r="E1701" s="4" t="s">
        <v>7</v>
      </c>
      <c r="F1701" s="4" t="s">
        <v>7</v>
      </c>
    </row>
    <row r="1702" spans="1:6" x14ac:dyDescent="0.25">
      <c r="A1702" s="4" t="str">
        <f>CONCATENATE("3071-0000-3143","")</f>
        <v>3071-0000-3143</v>
      </c>
      <c r="B1702" s="4" t="s">
        <v>1259</v>
      </c>
      <c r="C1702" s="5">
        <v>41489</v>
      </c>
      <c r="D1702" s="5">
        <v>41549</v>
      </c>
      <c r="E1702" s="4" t="s">
        <v>7</v>
      </c>
      <c r="F1702" s="4" t="s">
        <v>808</v>
      </c>
    </row>
    <row r="1703" spans="1:6" x14ac:dyDescent="0.25">
      <c r="A1703" s="4" t="str">
        <f>CONCATENATE("3071-0000-3254","")</f>
        <v>3071-0000-3254</v>
      </c>
      <c r="B1703" s="4" t="s">
        <v>1171</v>
      </c>
      <c r="C1703" s="5">
        <v>41489</v>
      </c>
      <c r="D1703" s="5">
        <v>41549</v>
      </c>
      <c r="E1703" s="4" t="s">
        <v>7</v>
      </c>
      <c r="F1703" s="4" t="s">
        <v>808</v>
      </c>
    </row>
    <row r="1704" spans="1:6" x14ac:dyDescent="0.25">
      <c r="A1704" s="4" t="str">
        <f>CONCATENATE("3071-0000-0187","")</f>
        <v>3071-0000-0187</v>
      </c>
      <c r="B1704" s="4" t="s">
        <v>413</v>
      </c>
      <c r="C1704" s="5">
        <v>41489</v>
      </c>
      <c r="D1704" s="5">
        <v>41549</v>
      </c>
      <c r="E1704" s="4" t="s">
        <v>7</v>
      </c>
      <c r="F1704" s="4" t="s">
        <v>7</v>
      </c>
    </row>
    <row r="1705" spans="1:6" x14ac:dyDescent="0.25">
      <c r="A1705" s="4" t="str">
        <f>CONCATENATE("3071-0000-0947","")</f>
        <v>3071-0000-0947</v>
      </c>
      <c r="B1705" s="4" t="s">
        <v>2151</v>
      </c>
      <c r="C1705" s="5">
        <v>41489</v>
      </c>
      <c r="D1705" s="5">
        <v>41549</v>
      </c>
      <c r="E1705" s="4" t="s">
        <v>1857</v>
      </c>
      <c r="F1705" s="4" t="s">
        <v>1857</v>
      </c>
    </row>
    <row r="1706" spans="1:6" x14ac:dyDescent="0.25">
      <c r="A1706" s="4" t="str">
        <f>CONCATENATE("3071-0000-3992","")</f>
        <v>3071-0000-3992</v>
      </c>
      <c r="B1706" s="4" t="s">
        <v>4177</v>
      </c>
      <c r="C1706" s="5">
        <v>41489</v>
      </c>
      <c r="D1706" s="5">
        <v>41549</v>
      </c>
      <c r="E1706" s="4" t="s">
        <v>2944</v>
      </c>
      <c r="F1706" s="4" t="s">
        <v>3513</v>
      </c>
    </row>
    <row r="1707" spans="1:6" x14ac:dyDescent="0.25">
      <c r="A1707" s="4" t="str">
        <f>CONCATENATE("3071-0000-7017","")</f>
        <v>3071-0000-7017</v>
      </c>
      <c r="B1707" s="4" t="s">
        <v>4659</v>
      </c>
      <c r="C1707" s="5">
        <v>41489</v>
      </c>
      <c r="D1707" s="5">
        <v>41549</v>
      </c>
      <c r="E1707" s="4" t="s">
        <v>1410</v>
      </c>
      <c r="F1707" s="4" t="s">
        <v>1410</v>
      </c>
    </row>
    <row r="1708" spans="1:6" x14ac:dyDescent="0.25">
      <c r="A1708" s="4" t="str">
        <f>CONCATENATE("3071-0000-3908","")</f>
        <v>3071-0000-3908</v>
      </c>
      <c r="B1708" s="4" t="s">
        <v>4131</v>
      </c>
      <c r="C1708" s="5">
        <v>41489</v>
      </c>
      <c r="D1708" s="5">
        <v>41549</v>
      </c>
      <c r="E1708" s="4" t="s">
        <v>2944</v>
      </c>
      <c r="F1708" s="4" t="s">
        <v>3513</v>
      </c>
    </row>
    <row r="1709" spans="1:6" x14ac:dyDescent="0.25">
      <c r="A1709" s="4" t="str">
        <f>CONCATENATE("3071-0000-4766","")</f>
        <v>3071-0000-4766</v>
      </c>
      <c r="B1709" s="4" t="s">
        <v>9025</v>
      </c>
      <c r="C1709" s="5">
        <v>41489</v>
      </c>
      <c r="D1709" s="5">
        <v>41549</v>
      </c>
      <c r="E1709" s="4" t="s">
        <v>1410</v>
      </c>
      <c r="F1709" s="4" t="s">
        <v>8696</v>
      </c>
    </row>
    <row r="1710" spans="1:6" x14ac:dyDescent="0.25">
      <c r="A1710" s="4" t="str">
        <f>CONCATENATE("3071-0000-9447","")</f>
        <v>3071-0000-9447</v>
      </c>
      <c r="B1710" s="4" t="s">
        <v>8510</v>
      </c>
      <c r="C1710" s="5">
        <v>41489</v>
      </c>
      <c r="D1710" s="5">
        <v>41549</v>
      </c>
      <c r="E1710" s="4" t="s">
        <v>1410</v>
      </c>
      <c r="F1710" s="4" t="s">
        <v>4459</v>
      </c>
    </row>
    <row r="1711" spans="1:6" x14ac:dyDescent="0.25">
      <c r="A1711" s="4" t="str">
        <f>CONCATENATE("3071-0000-2014","")</f>
        <v>3071-0000-2014</v>
      </c>
      <c r="B1711" s="4" t="s">
        <v>3290</v>
      </c>
      <c r="C1711" s="5">
        <v>41489</v>
      </c>
      <c r="D1711" s="5">
        <v>41549</v>
      </c>
      <c r="E1711" s="4" t="s">
        <v>2944</v>
      </c>
      <c r="F1711" s="4" t="s">
        <v>2945</v>
      </c>
    </row>
    <row r="1712" spans="1:6" x14ac:dyDescent="0.25">
      <c r="A1712" s="4" t="str">
        <f>CONCATENATE("3071-0000-3122","")</f>
        <v>3071-0000-3122</v>
      </c>
      <c r="B1712" s="4" t="s">
        <v>1030</v>
      </c>
      <c r="C1712" s="5">
        <v>41489</v>
      </c>
      <c r="D1712" s="5">
        <v>41549</v>
      </c>
      <c r="E1712" s="4" t="s">
        <v>7</v>
      </c>
      <c r="F1712" s="4" t="s">
        <v>808</v>
      </c>
    </row>
    <row r="1713" spans="1:6" x14ac:dyDescent="0.25">
      <c r="A1713" s="4" t="str">
        <f>CONCATENATE("3071-0000-4635","")</f>
        <v>3071-0000-4635</v>
      </c>
      <c r="B1713" s="4" t="s">
        <v>9392</v>
      </c>
      <c r="C1713" s="5">
        <v>41489</v>
      </c>
      <c r="D1713" s="5">
        <v>41549</v>
      </c>
      <c r="E1713" s="4" t="s">
        <v>1410</v>
      </c>
      <c r="F1713" s="4" t="s">
        <v>8696</v>
      </c>
    </row>
    <row r="1714" spans="1:6" x14ac:dyDescent="0.25">
      <c r="A1714" s="4" t="str">
        <f>CONCATENATE("3071-0000-5634","")</f>
        <v>3071-0000-5634</v>
      </c>
      <c r="B1714" s="4" t="s">
        <v>7256</v>
      </c>
      <c r="C1714" s="5">
        <v>41489</v>
      </c>
      <c r="D1714" s="5">
        <v>41549</v>
      </c>
      <c r="E1714" s="4" t="s">
        <v>5185</v>
      </c>
      <c r="F1714" s="4" t="s">
        <v>5185</v>
      </c>
    </row>
    <row r="1715" spans="1:6" x14ac:dyDescent="0.25">
      <c r="A1715" s="4" t="str">
        <f>CONCATENATE("3071-0000-0451","")</f>
        <v>3071-0000-0451</v>
      </c>
      <c r="B1715" s="4" t="s">
        <v>392</v>
      </c>
      <c r="C1715" s="5">
        <v>41489</v>
      </c>
      <c r="D1715" s="5">
        <v>41549</v>
      </c>
      <c r="E1715" s="4" t="s">
        <v>7</v>
      </c>
      <c r="F1715" s="4" t="s">
        <v>7</v>
      </c>
    </row>
    <row r="1716" spans="1:6" x14ac:dyDescent="0.25">
      <c r="A1716" s="4" t="str">
        <f>CONCATENATE("3071-0000-0597","")</f>
        <v>3071-0000-0597</v>
      </c>
      <c r="B1716" s="4" t="s">
        <v>559</v>
      </c>
      <c r="C1716" s="5">
        <v>41489</v>
      </c>
      <c r="D1716" s="5">
        <v>41549</v>
      </c>
      <c r="E1716" s="4" t="s">
        <v>7</v>
      </c>
      <c r="F1716" s="4" t="s">
        <v>7</v>
      </c>
    </row>
    <row r="1717" spans="1:6" x14ac:dyDescent="0.25">
      <c r="A1717" s="4" t="str">
        <f>CONCATENATE("3071-0000-4235","")</f>
        <v>3071-0000-4235</v>
      </c>
      <c r="B1717" s="4" t="s">
        <v>8721</v>
      </c>
      <c r="C1717" s="5">
        <v>41489</v>
      </c>
      <c r="D1717" s="5">
        <v>41549</v>
      </c>
      <c r="E1717" s="4" t="s">
        <v>1410</v>
      </c>
      <c r="F1717" s="4" t="s">
        <v>8696</v>
      </c>
    </row>
    <row r="1718" spans="1:6" x14ac:dyDescent="0.25">
      <c r="A1718" s="4" t="str">
        <f>CONCATENATE("3071-0000-3303","")</f>
        <v>3071-0000-3303</v>
      </c>
      <c r="B1718" s="4" t="s">
        <v>998</v>
      </c>
      <c r="C1718" s="5">
        <v>41489</v>
      </c>
      <c r="D1718" s="5">
        <v>41549</v>
      </c>
      <c r="E1718" s="4" t="s">
        <v>7</v>
      </c>
      <c r="F1718" s="4" t="s">
        <v>808</v>
      </c>
    </row>
    <row r="1719" spans="1:6" x14ac:dyDescent="0.25">
      <c r="A1719" s="4" t="str">
        <f>CONCATENATE("3071-0000-8970","")</f>
        <v>3071-0000-8970</v>
      </c>
      <c r="B1719" s="4" t="s">
        <v>6256</v>
      </c>
      <c r="C1719" s="5">
        <v>41489</v>
      </c>
      <c r="D1719" s="5">
        <v>41549</v>
      </c>
      <c r="E1719" s="4" t="s">
        <v>5185</v>
      </c>
      <c r="F1719" s="4" t="s">
        <v>6181</v>
      </c>
    </row>
    <row r="1720" spans="1:6" x14ac:dyDescent="0.25">
      <c r="A1720" s="4" t="str">
        <f>CONCATENATE("3071-0000-0435","")</f>
        <v>3071-0000-0435</v>
      </c>
      <c r="B1720" s="4" t="s">
        <v>23</v>
      </c>
      <c r="C1720" s="5">
        <v>41489</v>
      </c>
      <c r="D1720" s="5">
        <v>41549</v>
      </c>
      <c r="E1720" s="4" t="s">
        <v>7</v>
      </c>
      <c r="F1720" s="4" t="s">
        <v>7</v>
      </c>
    </row>
    <row r="1721" spans="1:6" x14ac:dyDescent="0.25">
      <c r="A1721" s="4" t="str">
        <f>CONCATENATE("3071-0000-6082","")</f>
        <v>3071-0000-6082</v>
      </c>
      <c r="B1721" s="4" t="s">
        <v>6926</v>
      </c>
      <c r="C1721" s="5">
        <v>41489</v>
      </c>
      <c r="D1721" s="5">
        <v>41549</v>
      </c>
      <c r="E1721" s="4" t="s">
        <v>1410</v>
      </c>
      <c r="F1721" s="4" t="s">
        <v>6635</v>
      </c>
    </row>
    <row r="1722" spans="1:6" x14ac:dyDescent="0.25">
      <c r="A1722" s="4" t="str">
        <f>CONCATENATE("3071-0000-7184","")</f>
        <v>3071-0000-7184</v>
      </c>
      <c r="B1722" s="4" t="s">
        <v>4950</v>
      </c>
      <c r="C1722" s="5">
        <v>41489</v>
      </c>
      <c r="D1722" s="5">
        <v>41549</v>
      </c>
      <c r="E1722" s="4" t="s">
        <v>1410</v>
      </c>
      <c r="F1722" s="4" t="s">
        <v>1410</v>
      </c>
    </row>
    <row r="1723" spans="1:6" x14ac:dyDescent="0.25">
      <c r="A1723" s="4" t="str">
        <f>CONCATENATE("3071-0000-3905","")</f>
        <v>3071-0000-3905</v>
      </c>
      <c r="B1723" s="4" t="s">
        <v>4127</v>
      </c>
      <c r="C1723" s="5">
        <v>41489</v>
      </c>
      <c r="D1723" s="5">
        <v>41549</v>
      </c>
      <c r="E1723" s="4" t="s">
        <v>7</v>
      </c>
      <c r="F1723" s="4" t="s">
        <v>3902</v>
      </c>
    </row>
    <row r="1724" spans="1:6" x14ac:dyDescent="0.25">
      <c r="A1724" s="4" t="str">
        <f>CONCATENATE("3071-0000-0065","")</f>
        <v>3071-0000-0065</v>
      </c>
      <c r="B1724" s="4" t="s">
        <v>128</v>
      </c>
      <c r="C1724" s="5">
        <v>41489</v>
      </c>
      <c r="D1724" s="5">
        <v>41549</v>
      </c>
      <c r="E1724" s="4" t="s">
        <v>7</v>
      </c>
      <c r="F1724" s="4" t="s">
        <v>7</v>
      </c>
    </row>
    <row r="1725" spans="1:6" x14ac:dyDescent="0.25">
      <c r="A1725" s="4" t="str">
        <f>CONCATENATE("3071-0000-0714","")</f>
        <v>3071-0000-0714</v>
      </c>
      <c r="B1725" s="4" t="s">
        <v>783</v>
      </c>
      <c r="C1725" s="5">
        <v>41489</v>
      </c>
      <c r="D1725" s="5">
        <v>41549</v>
      </c>
      <c r="E1725" s="4" t="s">
        <v>7</v>
      </c>
      <c r="F1725" s="4" t="s">
        <v>7</v>
      </c>
    </row>
    <row r="1726" spans="1:6" x14ac:dyDescent="0.25">
      <c r="A1726" s="4" t="str">
        <f>CONCATENATE("3071-0000-6587","")</f>
        <v>3071-0000-6587</v>
      </c>
      <c r="B1726" s="4" t="s">
        <v>7997</v>
      </c>
      <c r="C1726" s="5">
        <v>41489</v>
      </c>
      <c r="D1726" s="5">
        <v>41549</v>
      </c>
      <c r="E1726" s="4" t="s">
        <v>5185</v>
      </c>
      <c r="F1726" s="4" t="s">
        <v>5185</v>
      </c>
    </row>
    <row r="1727" spans="1:6" x14ac:dyDescent="0.25">
      <c r="A1727" s="4" t="str">
        <f>CONCATENATE("3071-0000-7339","")</f>
        <v>3071-0000-7339</v>
      </c>
      <c r="B1727" s="4" t="s">
        <v>4607</v>
      </c>
      <c r="C1727" s="5">
        <v>41489</v>
      </c>
      <c r="D1727" s="5">
        <v>41549</v>
      </c>
      <c r="E1727" s="4" t="s">
        <v>1410</v>
      </c>
      <c r="F1727" s="4" t="s">
        <v>1410</v>
      </c>
    </row>
    <row r="1728" spans="1:6" x14ac:dyDescent="0.25">
      <c r="A1728" s="4" t="str">
        <f>CONCATENATE("3071-0000-9612","")</f>
        <v>3071-0000-9612</v>
      </c>
      <c r="B1728" s="4" t="s">
        <v>8450</v>
      </c>
      <c r="C1728" s="5">
        <v>41489</v>
      </c>
      <c r="D1728" s="5">
        <v>41549</v>
      </c>
      <c r="E1728" s="4" t="s">
        <v>1410</v>
      </c>
      <c r="F1728" s="4" t="s">
        <v>4459</v>
      </c>
    </row>
    <row r="1729" spans="1:6" x14ac:dyDescent="0.25">
      <c r="A1729" s="4" t="str">
        <f>CONCATENATE("3071-0000-1808","")</f>
        <v>3071-0000-1808</v>
      </c>
      <c r="B1729" s="4" t="s">
        <v>2363</v>
      </c>
      <c r="C1729" s="5">
        <v>41489</v>
      </c>
      <c r="D1729" s="5">
        <v>41549</v>
      </c>
      <c r="E1729" s="4" t="s">
        <v>1381</v>
      </c>
      <c r="F1729" s="4" t="s">
        <v>2319</v>
      </c>
    </row>
    <row r="1730" spans="1:6" x14ac:dyDescent="0.25">
      <c r="A1730" s="4" t="str">
        <f>CONCATENATE("3071-0000-5824","")</f>
        <v>3071-0000-5824</v>
      </c>
      <c r="B1730" s="4" t="s">
        <v>7620</v>
      </c>
      <c r="C1730" s="5">
        <v>41489</v>
      </c>
      <c r="D1730" s="5">
        <v>41549</v>
      </c>
      <c r="E1730" s="4" t="s">
        <v>5185</v>
      </c>
      <c r="F1730" s="4" t="s">
        <v>5185</v>
      </c>
    </row>
    <row r="1731" spans="1:6" x14ac:dyDescent="0.25">
      <c r="A1731" s="4" t="str">
        <f>CONCATENATE("3071-0000-7812","")</f>
        <v>3071-0000-7812</v>
      </c>
      <c r="B1731" s="4" t="s">
        <v>5488</v>
      </c>
      <c r="C1731" s="5">
        <v>41489</v>
      </c>
      <c r="D1731" s="5">
        <v>41549</v>
      </c>
      <c r="E1731" s="4" t="s">
        <v>5185</v>
      </c>
      <c r="F1731" s="4" t="s">
        <v>5185</v>
      </c>
    </row>
    <row r="1732" spans="1:6" x14ac:dyDescent="0.25">
      <c r="A1732" s="4" t="str">
        <f>CONCATENATE("3071-0000-2267","")</f>
        <v>3071-0000-2267</v>
      </c>
      <c r="B1732" s="4" t="s">
        <v>3773</v>
      </c>
      <c r="C1732" s="5">
        <v>41489</v>
      </c>
      <c r="D1732" s="5">
        <v>41549</v>
      </c>
      <c r="E1732" s="4" t="s">
        <v>2944</v>
      </c>
      <c r="F1732" s="4" t="s">
        <v>2945</v>
      </c>
    </row>
    <row r="1733" spans="1:6" x14ac:dyDescent="0.25">
      <c r="A1733" s="4" t="str">
        <f>CONCATENATE("3071-0000-8629","")</f>
        <v>3071-0000-8629</v>
      </c>
      <c r="B1733" s="4" t="s">
        <v>6011</v>
      </c>
      <c r="C1733" s="5">
        <v>41489</v>
      </c>
      <c r="D1733" s="5">
        <v>41549</v>
      </c>
      <c r="E1733" s="4" t="s">
        <v>5185</v>
      </c>
      <c r="F1733" s="4" t="s">
        <v>5945</v>
      </c>
    </row>
    <row r="1734" spans="1:6" x14ac:dyDescent="0.25">
      <c r="A1734" s="4" t="str">
        <f>CONCATENATE("3071-0000-6024","")</f>
        <v>3071-0000-6024</v>
      </c>
      <c r="B1734" s="4" t="s">
        <v>7185</v>
      </c>
      <c r="C1734" s="5">
        <v>41489</v>
      </c>
      <c r="D1734" s="5">
        <v>41549</v>
      </c>
      <c r="E1734" s="4" t="s">
        <v>7069</v>
      </c>
      <c r="F1734" s="4" t="s">
        <v>7183</v>
      </c>
    </row>
    <row r="1735" spans="1:6" x14ac:dyDescent="0.25">
      <c r="A1735" s="4" t="str">
        <f>CONCATENATE("3071-0000-3380","")</f>
        <v>3071-0000-3380</v>
      </c>
      <c r="B1735" s="4" t="s">
        <v>1522</v>
      </c>
      <c r="C1735" s="5">
        <v>41489</v>
      </c>
      <c r="D1735" s="5">
        <v>41549</v>
      </c>
      <c r="E1735" s="4" t="s">
        <v>1410</v>
      </c>
      <c r="F1735" s="4" t="s">
        <v>1411</v>
      </c>
    </row>
    <row r="1736" spans="1:6" x14ac:dyDescent="0.25">
      <c r="A1736" s="4" t="str">
        <f>CONCATENATE("3071-0000-8973","")</f>
        <v>3071-0000-8973</v>
      </c>
      <c r="B1736" s="4" t="s">
        <v>6260</v>
      </c>
      <c r="C1736" s="5">
        <v>41489</v>
      </c>
      <c r="D1736" s="5">
        <v>41549</v>
      </c>
      <c r="E1736" s="4" t="s">
        <v>5185</v>
      </c>
      <c r="F1736" s="4" t="s">
        <v>6181</v>
      </c>
    </row>
    <row r="1737" spans="1:6" x14ac:dyDescent="0.25">
      <c r="A1737" s="4" t="str">
        <f>CONCATENATE("3071-0000-8111","")</f>
        <v>3071-0000-8111</v>
      </c>
      <c r="B1737" s="4" t="s">
        <v>6016</v>
      </c>
      <c r="C1737" s="5">
        <v>41489</v>
      </c>
      <c r="D1737" s="5">
        <v>41549</v>
      </c>
      <c r="E1737" s="4" t="s">
        <v>5185</v>
      </c>
      <c r="F1737" s="4" t="s">
        <v>5185</v>
      </c>
    </row>
    <row r="1738" spans="1:6" x14ac:dyDescent="0.25">
      <c r="A1738" s="4" t="str">
        <f>CONCATENATE("3071-0000-2754","")</f>
        <v>3071-0000-2754</v>
      </c>
      <c r="B1738" s="4" t="s">
        <v>835</v>
      </c>
      <c r="C1738" s="5">
        <v>41489</v>
      </c>
      <c r="D1738" s="5">
        <v>41549</v>
      </c>
      <c r="E1738" s="4" t="s">
        <v>7</v>
      </c>
      <c r="F1738" s="4" t="s">
        <v>808</v>
      </c>
    </row>
    <row r="1739" spans="1:6" x14ac:dyDescent="0.25">
      <c r="A1739" s="4" t="str">
        <f>CONCATENATE("3071-0000-8963","")</f>
        <v>3071-0000-8963</v>
      </c>
      <c r="B1739" s="4" t="s">
        <v>6262</v>
      </c>
      <c r="C1739" s="5">
        <v>41489</v>
      </c>
      <c r="D1739" s="5">
        <v>41549</v>
      </c>
      <c r="E1739" s="4" t="s">
        <v>5185</v>
      </c>
      <c r="F1739" s="4" t="s">
        <v>6181</v>
      </c>
    </row>
    <row r="1740" spans="1:6" x14ac:dyDescent="0.25">
      <c r="A1740" s="4" t="str">
        <f>CONCATENATE("3071-0000-4031","")</f>
        <v>3071-0000-4031</v>
      </c>
      <c r="B1740" s="4" t="s">
        <v>4216</v>
      </c>
      <c r="C1740" s="5">
        <v>41489</v>
      </c>
      <c r="D1740" s="5">
        <v>41549</v>
      </c>
      <c r="E1740" s="4" t="s">
        <v>7</v>
      </c>
      <c r="F1740" s="4" t="s">
        <v>1419</v>
      </c>
    </row>
    <row r="1741" spans="1:6" x14ac:dyDescent="0.25">
      <c r="A1741" s="4" t="str">
        <f>CONCATENATE("3071-0000-5346","")</f>
        <v>3071-0000-5346</v>
      </c>
      <c r="B1741" s="4" t="s">
        <v>6845</v>
      </c>
      <c r="C1741" s="5">
        <v>41489</v>
      </c>
      <c r="D1741" s="5">
        <v>41549</v>
      </c>
      <c r="E1741" s="4" t="s">
        <v>5185</v>
      </c>
      <c r="F1741" s="4" t="s">
        <v>5185</v>
      </c>
    </row>
    <row r="1742" spans="1:6" x14ac:dyDescent="0.25">
      <c r="A1742" s="4" t="str">
        <f>CONCATENATE("3071-0000-5347","")</f>
        <v>3071-0000-5347</v>
      </c>
      <c r="B1742" s="4" t="s">
        <v>6848</v>
      </c>
      <c r="C1742" s="5">
        <v>41489</v>
      </c>
      <c r="D1742" s="5">
        <v>41549</v>
      </c>
      <c r="E1742" s="4" t="s">
        <v>5185</v>
      </c>
      <c r="F1742" s="4" t="s">
        <v>5185</v>
      </c>
    </row>
    <row r="1743" spans="1:6" x14ac:dyDescent="0.25">
      <c r="A1743" s="4" t="str">
        <f>CONCATENATE("3071-0000-8957","")</f>
        <v>3071-0000-8957</v>
      </c>
      <c r="B1743" s="4" t="s">
        <v>6291</v>
      </c>
      <c r="C1743" s="5">
        <v>41489</v>
      </c>
      <c r="D1743" s="5">
        <v>41549</v>
      </c>
      <c r="E1743" s="4" t="s">
        <v>5185</v>
      </c>
      <c r="F1743" s="4" t="s">
        <v>6181</v>
      </c>
    </row>
    <row r="1744" spans="1:6" x14ac:dyDescent="0.25">
      <c r="A1744" s="4" t="str">
        <f>CONCATENATE("3071-0000-8967","")</f>
        <v>3071-0000-8967</v>
      </c>
      <c r="B1744" s="4" t="s">
        <v>6267</v>
      </c>
      <c r="C1744" s="5">
        <v>41489</v>
      </c>
      <c r="D1744" s="5">
        <v>41549</v>
      </c>
      <c r="E1744" s="4" t="s">
        <v>5185</v>
      </c>
      <c r="F1744" s="4" t="s">
        <v>6181</v>
      </c>
    </row>
    <row r="1745" spans="1:6" x14ac:dyDescent="0.25">
      <c r="A1745" s="4" t="str">
        <f>CONCATENATE("3071-0000-0993","")</f>
        <v>3071-0000-0993</v>
      </c>
      <c r="B1745" s="4" t="s">
        <v>2214</v>
      </c>
      <c r="C1745" s="5">
        <v>41489</v>
      </c>
      <c r="D1745" s="5">
        <v>41549</v>
      </c>
      <c r="E1745" s="4" t="s">
        <v>1857</v>
      </c>
      <c r="F1745" s="4" t="s">
        <v>1857</v>
      </c>
    </row>
    <row r="1746" spans="1:6" x14ac:dyDescent="0.25">
      <c r="A1746" s="4" t="str">
        <f>CONCATENATE("3071-0000-1966","")</f>
        <v>3071-0000-1966</v>
      </c>
      <c r="B1746" s="4" t="s">
        <v>3092</v>
      </c>
      <c r="C1746" s="5">
        <v>41489</v>
      </c>
      <c r="D1746" s="5">
        <v>41549</v>
      </c>
      <c r="E1746" s="4" t="s">
        <v>2944</v>
      </c>
      <c r="F1746" s="4" t="s">
        <v>2945</v>
      </c>
    </row>
    <row r="1747" spans="1:6" x14ac:dyDescent="0.25">
      <c r="A1747" s="4" t="str">
        <f>CONCATENATE("3071-0000-5904","")</f>
        <v>3071-0000-5904</v>
      </c>
      <c r="B1747" s="4" t="s">
        <v>7603</v>
      </c>
      <c r="C1747" s="5">
        <v>41489</v>
      </c>
      <c r="D1747" s="5">
        <v>41549</v>
      </c>
      <c r="E1747" s="4" t="s">
        <v>5185</v>
      </c>
      <c r="F1747" s="4" t="s">
        <v>5185</v>
      </c>
    </row>
    <row r="1748" spans="1:6" x14ac:dyDescent="0.25">
      <c r="A1748" s="4" t="str">
        <f>CONCATENATE("3071-0000-0711","")</f>
        <v>3071-0000-0711</v>
      </c>
      <c r="B1748" s="4" t="s">
        <v>791</v>
      </c>
      <c r="C1748" s="5">
        <v>41489</v>
      </c>
      <c r="D1748" s="5">
        <v>41549</v>
      </c>
      <c r="E1748" s="4" t="s">
        <v>7</v>
      </c>
      <c r="F1748" s="4" t="s">
        <v>7</v>
      </c>
    </row>
    <row r="1749" spans="1:6" x14ac:dyDescent="0.25">
      <c r="A1749" s="4" t="str">
        <f>CONCATENATE("3071-0000-8880","")</f>
        <v>3071-0000-8880</v>
      </c>
      <c r="B1749" s="4" t="s">
        <v>5831</v>
      </c>
      <c r="C1749" s="5">
        <v>41489</v>
      </c>
      <c r="D1749" s="5">
        <v>41549</v>
      </c>
      <c r="E1749" s="4" t="s">
        <v>5185</v>
      </c>
      <c r="F1749" s="4" t="s">
        <v>4188</v>
      </c>
    </row>
    <row r="1750" spans="1:6" x14ac:dyDescent="0.25">
      <c r="A1750" s="4" t="str">
        <f>CONCATENATE("3071-0000-5387","")</f>
        <v>3071-0000-5387</v>
      </c>
      <c r="B1750" s="4" t="s">
        <v>6839</v>
      </c>
      <c r="C1750" s="5">
        <v>41489</v>
      </c>
      <c r="D1750" s="5">
        <v>41549</v>
      </c>
      <c r="E1750" s="4" t="s">
        <v>5185</v>
      </c>
      <c r="F1750" s="4" t="s">
        <v>5185</v>
      </c>
    </row>
    <row r="1751" spans="1:6" x14ac:dyDescent="0.25">
      <c r="A1751" s="4" t="str">
        <f>CONCATENATE("3071-0000-8390","")</f>
        <v>3071-0000-8390</v>
      </c>
      <c r="B1751" s="4" t="s">
        <v>5872</v>
      </c>
      <c r="C1751" s="5">
        <v>41489</v>
      </c>
      <c r="D1751" s="5">
        <v>41549</v>
      </c>
      <c r="E1751" s="4" t="s">
        <v>5185</v>
      </c>
      <c r="F1751" s="4" t="s">
        <v>5185</v>
      </c>
    </row>
    <row r="1752" spans="1:6" x14ac:dyDescent="0.25">
      <c r="A1752" s="4" t="str">
        <f>CONCATENATE("3071-0000-0363","")</f>
        <v>3071-0000-0363</v>
      </c>
      <c r="B1752" s="4" t="s">
        <v>541</v>
      </c>
      <c r="C1752" s="5">
        <v>41489</v>
      </c>
      <c r="D1752" s="5">
        <v>41549</v>
      </c>
      <c r="E1752" s="4" t="s">
        <v>7</v>
      </c>
      <c r="F1752" s="4" t="s">
        <v>7</v>
      </c>
    </row>
    <row r="1753" spans="1:6" x14ac:dyDescent="0.25">
      <c r="A1753" s="4" t="str">
        <f>CONCATENATE("3071-0000-2742","")</f>
        <v>3071-0000-2742</v>
      </c>
      <c r="B1753" s="4" t="s">
        <v>836</v>
      </c>
      <c r="C1753" s="5">
        <v>41489</v>
      </c>
      <c r="D1753" s="5">
        <v>41549</v>
      </c>
      <c r="E1753" s="4" t="s">
        <v>7</v>
      </c>
      <c r="F1753" s="4" t="s">
        <v>808</v>
      </c>
    </row>
    <row r="1754" spans="1:6" x14ac:dyDescent="0.25">
      <c r="A1754" s="4" t="str">
        <f>CONCATENATE("3071-0000-0778","")</f>
        <v>3071-0000-0778</v>
      </c>
      <c r="B1754" s="4" t="s">
        <v>576</v>
      </c>
      <c r="C1754" s="5">
        <v>41489</v>
      </c>
      <c r="D1754" s="5">
        <v>41549</v>
      </c>
      <c r="E1754" s="4" t="s">
        <v>7</v>
      </c>
      <c r="F1754" s="4" t="s">
        <v>273</v>
      </c>
    </row>
    <row r="1755" spans="1:6" x14ac:dyDescent="0.25">
      <c r="A1755" s="4" t="str">
        <f>CONCATENATE("3071-0000-8798","")</f>
        <v>3071-0000-8798</v>
      </c>
      <c r="B1755" s="4" t="s">
        <v>6554</v>
      </c>
      <c r="C1755" s="5">
        <v>41489</v>
      </c>
      <c r="D1755" s="5">
        <v>41549</v>
      </c>
      <c r="E1755" s="4" t="s">
        <v>5185</v>
      </c>
      <c r="F1755" s="4" t="s">
        <v>5292</v>
      </c>
    </row>
    <row r="1756" spans="1:6" x14ac:dyDescent="0.25">
      <c r="A1756" s="4" t="str">
        <f>CONCATENATE("3071-0000-6251","")</f>
        <v>3071-0000-6251</v>
      </c>
      <c r="B1756" s="4" t="s">
        <v>7602</v>
      </c>
      <c r="C1756" s="5">
        <v>41489</v>
      </c>
      <c r="D1756" s="5">
        <v>41549</v>
      </c>
      <c r="E1756" s="4" t="s">
        <v>1410</v>
      </c>
      <c r="F1756" s="4" t="s">
        <v>7309</v>
      </c>
    </row>
    <row r="1757" spans="1:6" x14ac:dyDescent="0.25">
      <c r="A1757" s="4" t="str">
        <f>CONCATENATE("3071-0000-4745","")</f>
        <v>3071-0000-4745</v>
      </c>
      <c r="B1757" s="4" t="s">
        <v>9659</v>
      </c>
      <c r="C1757" s="5">
        <v>41489</v>
      </c>
      <c r="D1757" s="5">
        <v>41549</v>
      </c>
      <c r="E1757" s="4" t="s">
        <v>1410</v>
      </c>
      <c r="F1757" s="4" t="s">
        <v>8696</v>
      </c>
    </row>
    <row r="1758" spans="1:6" x14ac:dyDescent="0.25">
      <c r="A1758" s="4" t="str">
        <f>CONCATENATE("3071-0000-8308","")</f>
        <v>3071-0000-8308</v>
      </c>
      <c r="B1758" s="4" t="s">
        <v>6221</v>
      </c>
      <c r="C1758" s="5">
        <v>41489</v>
      </c>
      <c r="D1758" s="5">
        <v>41549</v>
      </c>
      <c r="E1758" s="4" t="s">
        <v>5185</v>
      </c>
      <c r="F1758" s="4" t="s">
        <v>5185</v>
      </c>
    </row>
    <row r="1759" spans="1:6" x14ac:dyDescent="0.25">
      <c r="A1759" s="4" t="str">
        <f>CONCATENATE("3071-0000-8572","")</f>
        <v>3071-0000-8572</v>
      </c>
      <c r="B1759" s="4" t="s">
        <v>5747</v>
      </c>
      <c r="C1759" s="5">
        <v>41489</v>
      </c>
      <c r="D1759" s="5">
        <v>41549</v>
      </c>
      <c r="E1759" s="4" t="s">
        <v>5185</v>
      </c>
      <c r="F1759" s="4" t="s">
        <v>5250</v>
      </c>
    </row>
    <row r="1760" spans="1:6" x14ac:dyDescent="0.25">
      <c r="A1760" s="4" t="str">
        <f>CONCATENATE("3071-0000-4392","")</f>
        <v>3071-0000-4392</v>
      </c>
      <c r="B1760" s="4" t="s">
        <v>9247</v>
      </c>
      <c r="C1760" s="5">
        <v>41489</v>
      </c>
      <c r="D1760" s="5">
        <v>41549</v>
      </c>
      <c r="E1760" s="4" t="s">
        <v>1410</v>
      </c>
      <c r="F1760" s="4" t="s">
        <v>8696</v>
      </c>
    </row>
    <row r="1761" spans="1:6" x14ac:dyDescent="0.25">
      <c r="A1761" s="4" t="str">
        <f>CONCATENATE("3071-0000-1878","")</f>
        <v>3071-0000-1878</v>
      </c>
      <c r="B1761" s="4" t="s">
        <v>3724</v>
      </c>
      <c r="C1761" s="5">
        <v>41489</v>
      </c>
      <c r="D1761" s="5">
        <v>41549</v>
      </c>
      <c r="E1761" s="4" t="s">
        <v>2944</v>
      </c>
      <c r="F1761" s="4" t="s">
        <v>3593</v>
      </c>
    </row>
    <row r="1762" spans="1:6" x14ac:dyDescent="0.25">
      <c r="A1762" s="4" t="str">
        <f>CONCATENATE("3071-0000-1927","")</f>
        <v>3071-0000-1927</v>
      </c>
      <c r="B1762" s="4" t="s">
        <v>3016</v>
      </c>
      <c r="C1762" s="5">
        <v>41489</v>
      </c>
      <c r="D1762" s="5">
        <v>41549</v>
      </c>
      <c r="E1762" s="4" t="s">
        <v>2944</v>
      </c>
      <c r="F1762" s="4" t="s">
        <v>2945</v>
      </c>
    </row>
    <row r="1763" spans="1:6" x14ac:dyDescent="0.25">
      <c r="A1763" s="4" t="str">
        <f>CONCATENATE("3071-0000-2824","")</f>
        <v>3071-0000-2824</v>
      </c>
      <c r="B1763" s="4" t="s">
        <v>1073</v>
      </c>
      <c r="C1763" s="5">
        <v>41489</v>
      </c>
      <c r="D1763" s="5">
        <v>41549</v>
      </c>
      <c r="E1763" s="4" t="s">
        <v>7</v>
      </c>
      <c r="F1763" s="4" t="s">
        <v>808</v>
      </c>
    </row>
    <row r="1764" spans="1:6" x14ac:dyDescent="0.25">
      <c r="A1764" s="4" t="str">
        <f>CONCATENATE("3071-0000-2578","")</f>
        <v>3071-0000-2578</v>
      </c>
      <c r="B1764" s="4" t="s">
        <v>3259</v>
      </c>
      <c r="C1764" s="5">
        <v>41489</v>
      </c>
      <c r="D1764" s="5">
        <v>41549</v>
      </c>
      <c r="E1764" s="4" t="s">
        <v>2944</v>
      </c>
      <c r="F1764" s="4" t="s">
        <v>3164</v>
      </c>
    </row>
    <row r="1765" spans="1:6" x14ac:dyDescent="0.25">
      <c r="A1765" s="4" t="str">
        <f>CONCATENATE("3071-0000-2688","")</f>
        <v>3071-0000-2688</v>
      </c>
      <c r="B1765" s="4" t="s">
        <v>3278</v>
      </c>
      <c r="C1765" s="5">
        <v>41489</v>
      </c>
      <c r="D1765" s="5">
        <v>41549</v>
      </c>
      <c r="E1765" s="4" t="s">
        <v>2944</v>
      </c>
      <c r="F1765" s="4" t="s">
        <v>3164</v>
      </c>
    </row>
    <row r="1766" spans="1:6" x14ac:dyDescent="0.25">
      <c r="A1766" s="4" t="str">
        <f>CONCATENATE("3071-0000-2567","")</f>
        <v>3071-0000-2567</v>
      </c>
      <c r="B1766" s="4" t="s">
        <v>3255</v>
      </c>
      <c r="C1766" s="5">
        <v>41489</v>
      </c>
      <c r="D1766" s="5">
        <v>41549</v>
      </c>
      <c r="E1766" s="4" t="s">
        <v>2944</v>
      </c>
      <c r="F1766" s="4" t="s">
        <v>3164</v>
      </c>
    </row>
    <row r="1767" spans="1:6" x14ac:dyDescent="0.25">
      <c r="A1767" s="4" t="str">
        <f>CONCATENATE("3071-0000-2600","")</f>
        <v>3071-0000-2600</v>
      </c>
      <c r="B1767" s="4" t="s">
        <v>3243</v>
      </c>
      <c r="C1767" s="5">
        <v>41489</v>
      </c>
      <c r="D1767" s="5">
        <v>41549</v>
      </c>
      <c r="E1767" s="4" t="s">
        <v>2944</v>
      </c>
      <c r="F1767" s="4" t="s">
        <v>3164</v>
      </c>
    </row>
    <row r="1768" spans="1:6" x14ac:dyDescent="0.25">
      <c r="A1768" s="4" t="str">
        <f>CONCATENATE("3071-0000-2157","")</f>
        <v>3071-0000-2157</v>
      </c>
      <c r="B1768" s="4" t="s">
        <v>3178</v>
      </c>
      <c r="C1768" s="5">
        <v>41489</v>
      </c>
      <c r="D1768" s="5">
        <v>41549</v>
      </c>
      <c r="E1768" s="4" t="s">
        <v>2944</v>
      </c>
      <c r="F1768" s="4" t="s">
        <v>2945</v>
      </c>
    </row>
    <row r="1769" spans="1:6" x14ac:dyDescent="0.25">
      <c r="A1769" s="4" t="str">
        <f>CONCATENATE("3071-0000-0561","")</f>
        <v>3071-0000-0561</v>
      </c>
      <c r="B1769" s="4" t="s">
        <v>488</v>
      </c>
      <c r="C1769" s="5">
        <v>41489</v>
      </c>
      <c r="D1769" s="5">
        <v>41549</v>
      </c>
      <c r="E1769" s="4" t="s">
        <v>7</v>
      </c>
      <c r="F1769" s="4" t="s">
        <v>7</v>
      </c>
    </row>
    <row r="1770" spans="1:6" x14ac:dyDescent="0.25">
      <c r="A1770" s="4" t="str">
        <f>CONCATENATE("3071-0000-3239","")</f>
        <v>3071-0000-3239</v>
      </c>
      <c r="B1770" s="4" t="s">
        <v>1242</v>
      </c>
      <c r="C1770" s="5">
        <v>41489</v>
      </c>
      <c r="D1770" s="5">
        <v>41549</v>
      </c>
      <c r="E1770" s="4" t="s">
        <v>7</v>
      </c>
      <c r="F1770" s="4" t="s">
        <v>808</v>
      </c>
    </row>
    <row r="1771" spans="1:6" x14ac:dyDescent="0.25">
      <c r="A1771" s="4" t="str">
        <f>CONCATENATE("3071-0000-0310","")</f>
        <v>3071-0000-0310</v>
      </c>
      <c r="B1771" s="4" t="s">
        <v>733</v>
      </c>
      <c r="C1771" s="5">
        <v>41489</v>
      </c>
      <c r="D1771" s="5">
        <v>41549</v>
      </c>
      <c r="E1771" s="4" t="s">
        <v>7</v>
      </c>
      <c r="F1771" s="4" t="s">
        <v>7</v>
      </c>
    </row>
    <row r="1772" spans="1:6" x14ac:dyDescent="0.25">
      <c r="A1772" s="4" t="str">
        <f>CONCATENATE("3071-0000-2594","")</f>
        <v>3071-0000-2594</v>
      </c>
      <c r="B1772" s="4" t="s">
        <v>3235</v>
      </c>
      <c r="C1772" s="5">
        <v>41489</v>
      </c>
      <c r="D1772" s="5">
        <v>41549</v>
      </c>
      <c r="E1772" s="4" t="s">
        <v>2944</v>
      </c>
      <c r="F1772" s="4" t="s">
        <v>3164</v>
      </c>
    </row>
    <row r="1773" spans="1:6" x14ac:dyDescent="0.25">
      <c r="A1773" s="4" t="str">
        <f>CONCATENATE("3071-0000-0800","")</f>
        <v>3071-0000-0800</v>
      </c>
      <c r="B1773" s="4" t="s">
        <v>227</v>
      </c>
      <c r="C1773" s="5">
        <v>41489</v>
      </c>
      <c r="D1773" s="5">
        <v>41549</v>
      </c>
      <c r="E1773" s="4" t="s">
        <v>7</v>
      </c>
      <c r="F1773" s="4" t="s">
        <v>7</v>
      </c>
    </row>
    <row r="1774" spans="1:6" x14ac:dyDescent="0.25">
      <c r="A1774" s="4" t="str">
        <f>CONCATENATE("3071-0000-2706","")</f>
        <v>3071-0000-2706</v>
      </c>
      <c r="B1774" s="4" t="s">
        <v>3574</v>
      </c>
      <c r="C1774" s="5">
        <v>41489</v>
      </c>
      <c r="D1774" s="5">
        <v>41549</v>
      </c>
      <c r="E1774" s="4" t="s">
        <v>2944</v>
      </c>
      <c r="F1774" s="4" t="s">
        <v>3567</v>
      </c>
    </row>
    <row r="1775" spans="1:6" x14ac:dyDescent="0.25">
      <c r="A1775" s="4" t="str">
        <f>CONCATENATE("3071-0000-1475","")</f>
        <v>3071-0000-1475</v>
      </c>
      <c r="B1775" s="4" t="s">
        <v>2933</v>
      </c>
      <c r="C1775" s="5">
        <v>41489</v>
      </c>
      <c r="D1775" s="5">
        <v>41549</v>
      </c>
      <c r="E1775" s="4" t="s">
        <v>1381</v>
      </c>
      <c r="F1775" s="4" t="s">
        <v>2303</v>
      </c>
    </row>
    <row r="1776" spans="1:6" x14ac:dyDescent="0.25">
      <c r="A1776" s="4" t="str">
        <f>CONCATENATE("3071-0000-0004","")</f>
        <v>3071-0000-0004</v>
      </c>
      <c r="B1776" s="4" t="s">
        <v>10</v>
      </c>
      <c r="C1776" s="5">
        <v>41489</v>
      </c>
      <c r="D1776" s="5">
        <v>41549</v>
      </c>
      <c r="E1776" s="4" t="s">
        <v>7</v>
      </c>
      <c r="F1776" s="4" t="s">
        <v>7</v>
      </c>
    </row>
    <row r="1777" spans="1:6" x14ac:dyDescent="0.25">
      <c r="A1777" s="4" t="str">
        <f>CONCATENATE("3071-0000-7839","")</f>
        <v>3071-0000-7839</v>
      </c>
      <c r="B1777" s="4" t="s">
        <v>6183</v>
      </c>
      <c r="C1777" s="5">
        <v>41489</v>
      </c>
      <c r="D1777" s="5">
        <v>41549</v>
      </c>
      <c r="E1777" s="4" t="s">
        <v>5185</v>
      </c>
      <c r="F1777" s="4" t="s">
        <v>5185</v>
      </c>
    </row>
    <row r="1778" spans="1:6" x14ac:dyDescent="0.25">
      <c r="A1778" s="4" t="str">
        <f>CONCATENATE("3071-0000-1388","")</f>
        <v>3071-0000-1388</v>
      </c>
      <c r="B1778" s="4" t="s">
        <v>2567</v>
      </c>
      <c r="C1778" s="5">
        <v>41489</v>
      </c>
      <c r="D1778" s="5">
        <v>41549</v>
      </c>
      <c r="E1778" s="4" t="s">
        <v>1381</v>
      </c>
      <c r="F1778" s="4" t="s">
        <v>2303</v>
      </c>
    </row>
    <row r="1779" spans="1:6" x14ac:dyDescent="0.25">
      <c r="A1779" s="4" t="str">
        <f>CONCATENATE("3071-0000-2317","")</f>
        <v>3071-0000-2317</v>
      </c>
      <c r="B1779" s="4" t="s">
        <v>3591</v>
      </c>
      <c r="C1779" s="5">
        <v>41489</v>
      </c>
      <c r="D1779" s="5">
        <v>41549</v>
      </c>
      <c r="E1779" s="4" t="s">
        <v>2944</v>
      </c>
      <c r="F1779" s="4" t="s">
        <v>2945</v>
      </c>
    </row>
    <row r="1780" spans="1:6" x14ac:dyDescent="0.25">
      <c r="A1780" s="4" t="str">
        <f>CONCATENATE("3071-0000-1872","")</f>
        <v>3071-0000-1872</v>
      </c>
      <c r="B1780" s="4" t="s">
        <v>2578</v>
      </c>
      <c r="C1780" s="5">
        <v>41489</v>
      </c>
      <c r="D1780" s="5">
        <v>41549</v>
      </c>
      <c r="E1780" s="4" t="s">
        <v>1381</v>
      </c>
      <c r="F1780" s="4" t="s">
        <v>2303</v>
      </c>
    </row>
    <row r="1781" spans="1:6" x14ac:dyDescent="0.25">
      <c r="A1781" s="4" t="str">
        <f>CONCATENATE("3071-0000-4472","")</f>
        <v>3071-0000-4472</v>
      </c>
      <c r="B1781" s="4" t="s">
        <v>9360</v>
      </c>
      <c r="C1781" s="5">
        <v>41489</v>
      </c>
      <c r="D1781" s="5">
        <v>41549</v>
      </c>
      <c r="E1781" s="4" t="s">
        <v>1410</v>
      </c>
      <c r="F1781" s="4" t="s">
        <v>8696</v>
      </c>
    </row>
    <row r="1782" spans="1:6" x14ac:dyDescent="0.25">
      <c r="A1782" s="4" t="str">
        <f>CONCATENATE("3071-0000-5084","")</f>
        <v>3071-0000-5084</v>
      </c>
      <c r="B1782" s="4" t="s">
        <v>9540</v>
      </c>
      <c r="C1782" s="5">
        <v>41489</v>
      </c>
      <c r="D1782" s="5">
        <v>41549</v>
      </c>
      <c r="E1782" s="4" t="s">
        <v>7069</v>
      </c>
      <c r="F1782" s="4" t="s">
        <v>9485</v>
      </c>
    </row>
    <row r="1783" spans="1:6" x14ac:dyDescent="0.25">
      <c r="A1783" s="4" t="str">
        <f>CONCATENATE("3071-0000-5048","")</f>
        <v>3071-0000-5048</v>
      </c>
      <c r="B1783" s="4" t="s">
        <v>9564</v>
      </c>
      <c r="C1783" s="5">
        <v>41489</v>
      </c>
      <c r="D1783" s="5">
        <v>41549</v>
      </c>
      <c r="E1783" s="4" t="s">
        <v>7069</v>
      </c>
      <c r="F1783" s="4" t="s">
        <v>9210</v>
      </c>
    </row>
    <row r="1784" spans="1:6" x14ac:dyDescent="0.25">
      <c r="A1784" s="4" t="str">
        <f>CONCATENATE("3071-0000-4527","")</f>
        <v>3071-0000-4527</v>
      </c>
      <c r="B1784" s="4" t="s">
        <v>9544</v>
      </c>
      <c r="C1784" s="5">
        <v>41489</v>
      </c>
      <c r="D1784" s="5">
        <v>41549</v>
      </c>
      <c r="E1784" s="4" t="s">
        <v>1410</v>
      </c>
      <c r="F1784" s="4" t="s">
        <v>8696</v>
      </c>
    </row>
    <row r="1785" spans="1:6" x14ac:dyDescent="0.25">
      <c r="A1785" s="4" t="str">
        <f>CONCATENATE("3071-0000-5108","")</f>
        <v>3071-0000-5108</v>
      </c>
      <c r="B1785" s="4" t="s">
        <v>9568</v>
      </c>
      <c r="C1785" s="5">
        <v>41489</v>
      </c>
      <c r="D1785" s="5">
        <v>41549</v>
      </c>
      <c r="E1785" s="4" t="s">
        <v>7069</v>
      </c>
      <c r="F1785" s="4" t="s">
        <v>9485</v>
      </c>
    </row>
    <row r="1786" spans="1:6" x14ac:dyDescent="0.25">
      <c r="A1786" s="4" t="str">
        <f>CONCATENATE("3071-0000-4500","")</f>
        <v>3071-0000-4500</v>
      </c>
      <c r="B1786" s="4" t="s">
        <v>9498</v>
      </c>
      <c r="C1786" s="5">
        <v>41489</v>
      </c>
      <c r="D1786" s="5">
        <v>41549</v>
      </c>
      <c r="E1786" s="4" t="s">
        <v>1410</v>
      </c>
      <c r="F1786" s="4" t="s">
        <v>8696</v>
      </c>
    </row>
    <row r="1787" spans="1:6" x14ac:dyDescent="0.25">
      <c r="A1787" s="4" t="str">
        <f>CONCATENATE("3071-0000-4494","")</f>
        <v>3071-0000-4494</v>
      </c>
      <c r="B1787" s="4" t="s">
        <v>9487</v>
      </c>
      <c r="C1787" s="5">
        <v>41489</v>
      </c>
      <c r="D1787" s="5">
        <v>41549</v>
      </c>
      <c r="E1787" s="4" t="s">
        <v>1410</v>
      </c>
      <c r="F1787" s="4" t="s">
        <v>8696</v>
      </c>
    </row>
    <row r="1788" spans="1:6" x14ac:dyDescent="0.25">
      <c r="A1788" s="4" t="str">
        <f>CONCATENATE("3071-0000-4938","")</f>
        <v>3071-0000-4938</v>
      </c>
      <c r="B1788" s="4" t="s">
        <v>9552</v>
      </c>
      <c r="C1788" s="5">
        <v>41489</v>
      </c>
      <c r="D1788" s="5">
        <v>41549</v>
      </c>
      <c r="E1788" s="4" t="s">
        <v>7069</v>
      </c>
      <c r="F1788" s="4" t="s">
        <v>9210</v>
      </c>
    </row>
    <row r="1789" spans="1:6" x14ac:dyDescent="0.25">
      <c r="A1789" s="4" t="str">
        <f>CONCATENATE("3071-0000-4521","")</f>
        <v>3071-0000-4521</v>
      </c>
      <c r="B1789" s="4" t="s">
        <v>9531</v>
      </c>
      <c r="C1789" s="5">
        <v>41489</v>
      </c>
      <c r="D1789" s="5">
        <v>41549</v>
      </c>
      <c r="E1789" s="4" t="s">
        <v>1410</v>
      </c>
      <c r="F1789" s="4" t="s">
        <v>8696</v>
      </c>
    </row>
    <row r="1790" spans="1:6" x14ac:dyDescent="0.25">
      <c r="A1790" s="4" t="str">
        <f>CONCATENATE("3071-0000-4795","")</f>
        <v>3071-0000-4795</v>
      </c>
      <c r="B1790" s="4" t="s">
        <v>9536</v>
      </c>
      <c r="C1790" s="5">
        <v>41489</v>
      </c>
      <c r="D1790" s="5">
        <v>41549</v>
      </c>
      <c r="E1790" s="4" t="s">
        <v>1410</v>
      </c>
      <c r="F1790" s="4" t="s">
        <v>8696</v>
      </c>
    </row>
    <row r="1791" spans="1:6" x14ac:dyDescent="0.25">
      <c r="A1791" s="4" t="str">
        <f>CONCATENATE("3071-0000-4202","")</f>
        <v>3071-0000-4202</v>
      </c>
      <c r="B1791" s="4" t="s">
        <v>4138</v>
      </c>
      <c r="C1791" s="5">
        <v>41489</v>
      </c>
      <c r="D1791" s="5">
        <v>41549</v>
      </c>
      <c r="E1791" s="4" t="s">
        <v>7</v>
      </c>
      <c r="F1791" s="4" t="s">
        <v>3902</v>
      </c>
    </row>
    <row r="1792" spans="1:6" x14ac:dyDescent="0.25">
      <c r="A1792" s="4" t="str">
        <f>CONCATENATE("3071-0000-5608","")</f>
        <v>3071-0000-5608</v>
      </c>
      <c r="B1792" s="4" t="s">
        <v>7166</v>
      </c>
      <c r="C1792" s="5">
        <v>41489</v>
      </c>
      <c r="D1792" s="5">
        <v>41549</v>
      </c>
      <c r="E1792" s="4" t="s">
        <v>5185</v>
      </c>
      <c r="F1792" s="4" t="s">
        <v>5185</v>
      </c>
    </row>
    <row r="1793" spans="1:6" x14ac:dyDescent="0.25">
      <c r="A1793" s="4" t="str">
        <f>CONCATENATE("3071-0000-5830","")</f>
        <v>3071-0000-5830</v>
      </c>
      <c r="B1793" s="4" t="s">
        <v>7150</v>
      </c>
      <c r="C1793" s="5">
        <v>41489</v>
      </c>
      <c r="D1793" s="5">
        <v>41549</v>
      </c>
      <c r="E1793" s="4" t="s">
        <v>5185</v>
      </c>
      <c r="F1793" s="4" t="s">
        <v>5185</v>
      </c>
    </row>
    <row r="1794" spans="1:6" x14ac:dyDescent="0.25">
      <c r="A1794" s="4" t="str">
        <f>CONCATENATE("3071-0000-1053","")</f>
        <v>3071-0000-1053</v>
      </c>
      <c r="B1794" s="4" t="s">
        <v>2246</v>
      </c>
      <c r="C1794" s="5">
        <v>41489</v>
      </c>
      <c r="D1794" s="5">
        <v>41549</v>
      </c>
      <c r="E1794" s="4" t="s">
        <v>1857</v>
      </c>
      <c r="F1794" s="4" t="s">
        <v>1857</v>
      </c>
    </row>
    <row r="1795" spans="1:6" x14ac:dyDescent="0.25">
      <c r="A1795" s="4" t="str">
        <f>CONCATENATE("3071-0000-8068","")</f>
        <v>3071-0000-8068</v>
      </c>
      <c r="B1795" s="4" t="s">
        <v>5903</v>
      </c>
      <c r="C1795" s="5">
        <v>41489</v>
      </c>
      <c r="D1795" s="5">
        <v>41549</v>
      </c>
      <c r="E1795" s="4" t="s">
        <v>5185</v>
      </c>
      <c r="F1795" s="4" t="s">
        <v>5185</v>
      </c>
    </row>
    <row r="1796" spans="1:6" x14ac:dyDescent="0.25">
      <c r="A1796" s="4" t="str">
        <f>CONCATENATE("3071-0000-0082","")</f>
        <v>3071-0000-0082</v>
      </c>
      <c r="B1796" s="4" t="s">
        <v>149</v>
      </c>
      <c r="C1796" s="5">
        <v>41489</v>
      </c>
      <c r="D1796" s="5">
        <v>41549</v>
      </c>
      <c r="E1796" s="4" t="s">
        <v>7</v>
      </c>
      <c r="F1796" s="4" t="s">
        <v>7</v>
      </c>
    </row>
    <row r="1797" spans="1:6" x14ac:dyDescent="0.25">
      <c r="A1797" s="4" t="str">
        <f>CONCATENATE("3071-0000-3912","")</f>
        <v>3071-0000-3912</v>
      </c>
      <c r="B1797" s="4" t="s">
        <v>4136</v>
      </c>
      <c r="C1797" s="5">
        <v>41489</v>
      </c>
      <c r="D1797" s="5">
        <v>41549</v>
      </c>
      <c r="E1797" s="4" t="s">
        <v>2944</v>
      </c>
      <c r="F1797" s="4" t="s">
        <v>3513</v>
      </c>
    </row>
    <row r="1798" spans="1:6" x14ac:dyDescent="0.25">
      <c r="A1798" s="4" t="str">
        <f>CONCATENATE("3071-0000-1854","")</f>
        <v>3071-0000-1854</v>
      </c>
      <c r="B1798" s="4" t="s">
        <v>2576</v>
      </c>
      <c r="C1798" s="5">
        <v>41489</v>
      </c>
      <c r="D1798" s="5">
        <v>41549</v>
      </c>
      <c r="E1798" s="4" t="s">
        <v>1381</v>
      </c>
      <c r="F1798" s="4" t="s">
        <v>2303</v>
      </c>
    </row>
    <row r="1799" spans="1:6" x14ac:dyDescent="0.25">
      <c r="A1799" s="4" t="str">
        <f>CONCATENATE("3071-0000-1255","")</f>
        <v>3071-0000-1255</v>
      </c>
      <c r="B1799" s="4" t="s">
        <v>2344</v>
      </c>
      <c r="C1799" s="5">
        <v>41489</v>
      </c>
      <c r="D1799" s="5">
        <v>41549</v>
      </c>
      <c r="E1799" s="4" t="s">
        <v>1381</v>
      </c>
      <c r="F1799" s="4" t="s">
        <v>2303</v>
      </c>
    </row>
    <row r="1800" spans="1:6" x14ac:dyDescent="0.25">
      <c r="A1800" s="4" t="str">
        <f>CONCATENATE("3071-0000-4200","")</f>
        <v>3071-0000-4200</v>
      </c>
      <c r="B1800" s="4" t="s">
        <v>4140</v>
      </c>
      <c r="C1800" s="5">
        <v>41489</v>
      </c>
      <c r="D1800" s="5">
        <v>41549</v>
      </c>
      <c r="E1800" s="4" t="s">
        <v>7</v>
      </c>
      <c r="F1800" s="4" t="s">
        <v>3902</v>
      </c>
    </row>
    <row r="1801" spans="1:6" x14ac:dyDescent="0.25">
      <c r="A1801" s="4" t="str">
        <f>CONCATENATE("3071-0000-4172","")</f>
        <v>3071-0000-4172</v>
      </c>
      <c r="B1801" s="4" t="s">
        <v>4141</v>
      </c>
      <c r="C1801" s="5">
        <v>41489</v>
      </c>
      <c r="D1801" s="5">
        <v>41549</v>
      </c>
      <c r="E1801" s="4" t="s">
        <v>7</v>
      </c>
      <c r="F1801" s="4" t="s">
        <v>3902</v>
      </c>
    </row>
    <row r="1802" spans="1:6" x14ac:dyDescent="0.25">
      <c r="A1802" s="4" t="str">
        <f>CONCATENATE("3071-0000-3909","")</f>
        <v>3071-0000-3909</v>
      </c>
      <c r="B1802" s="4" t="s">
        <v>4132</v>
      </c>
      <c r="C1802" s="5">
        <v>41489</v>
      </c>
      <c r="D1802" s="5">
        <v>41549</v>
      </c>
      <c r="E1802" s="4" t="s">
        <v>2944</v>
      </c>
      <c r="F1802" s="4" t="s">
        <v>3513</v>
      </c>
    </row>
    <row r="1803" spans="1:6" x14ac:dyDescent="0.25">
      <c r="A1803" s="4" t="str">
        <f>CONCATENATE("3071-0000-0746","")</f>
        <v>3071-0000-0746</v>
      </c>
      <c r="B1803" s="4" t="s">
        <v>150</v>
      </c>
      <c r="C1803" s="5">
        <v>41489</v>
      </c>
      <c r="D1803" s="5">
        <v>41549</v>
      </c>
      <c r="E1803" s="4" t="s">
        <v>7</v>
      </c>
      <c r="F1803" s="4" t="s">
        <v>7</v>
      </c>
    </row>
    <row r="1804" spans="1:6" x14ac:dyDescent="0.25">
      <c r="A1804" s="4" t="str">
        <f>CONCATENATE("3071-0000-1023","")</f>
        <v>3071-0000-1023</v>
      </c>
      <c r="B1804" s="4" t="s">
        <v>2242</v>
      </c>
      <c r="C1804" s="5">
        <v>41489</v>
      </c>
      <c r="D1804" s="5">
        <v>41549</v>
      </c>
      <c r="E1804" s="4" t="s">
        <v>1857</v>
      </c>
      <c r="F1804" s="4" t="s">
        <v>1857</v>
      </c>
    </row>
    <row r="1805" spans="1:6" x14ac:dyDescent="0.25">
      <c r="A1805" s="4" t="str">
        <f>CONCATENATE("3071-0000-8083","")</f>
        <v>3071-0000-8083</v>
      </c>
      <c r="B1805" s="4" t="s">
        <v>5916</v>
      </c>
      <c r="C1805" s="5">
        <v>41489</v>
      </c>
      <c r="D1805" s="5">
        <v>41549</v>
      </c>
      <c r="E1805" s="4" t="s">
        <v>5185</v>
      </c>
      <c r="F1805" s="4" t="s">
        <v>5185</v>
      </c>
    </row>
    <row r="1806" spans="1:6" x14ac:dyDescent="0.25">
      <c r="A1806" s="4" t="str">
        <f>CONCATENATE("3071-0000-8081","")</f>
        <v>3071-0000-8081</v>
      </c>
      <c r="B1806" s="4" t="s">
        <v>5918</v>
      </c>
      <c r="C1806" s="5">
        <v>41489</v>
      </c>
      <c r="D1806" s="5">
        <v>41549</v>
      </c>
      <c r="E1806" s="4" t="s">
        <v>5185</v>
      </c>
      <c r="F1806" s="4" t="s">
        <v>5185</v>
      </c>
    </row>
    <row r="1807" spans="1:6" x14ac:dyDescent="0.25">
      <c r="A1807" s="4" t="str">
        <f>CONCATENATE("3071-0000-7388","")</f>
        <v>3071-0000-7388</v>
      </c>
      <c r="B1807" s="4" t="s">
        <v>4487</v>
      </c>
      <c r="C1807" s="5">
        <v>41489</v>
      </c>
      <c r="D1807" s="5">
        <v>41549</v>
      </c>
      <c r="E1807" s="4" t="s">
        <v>1410</v>
      </c>
      <c r="F1807" s="4" t="s">
        <v>1410</v>
      </c>
    </row>
    <row r="1808" spans="1:6" x14ac:dyDescent="0.25">
      <c r="A1808" s="4" t="str">
        <f>CONCATENATE("3071-0000-0434","")</f>
        <v>3071-0000-0434</v>
      </c>
      <c r="B1808" s="4" t="s">
        <v>189</v>
      </c>
      <c r="C1808" s="5">
        <v>41489</v>
      </c>
      <c r="D1808" s="5">
        <v>41549</v>
      </c>
      <c r="E1808" s="4" t="s">
        <v>7</v>
      </c>
      <c r="F1808" s="4" t="s">
        <v>7</v>
      </c>
    </row>
    <row r="1809" spans="1:6" x14ac:dyDescent="0.25">
      <c r="A1809" s="4" t="str">
        <f>CONCATENATE("3071-0000-3797","")</f>
        <v>3071-0000-3797</v>
      </c>
      <c r="B1809" s="4" t="s">
        <v>3858</v>
      </c>
      <c r="C1809" s="5">
        <v>41489</v>
      </c>
      <c r="D1809" s="5">
        <v>41549</v>
      </c>
      <c r="E1809" s="4" t="s">
        <v>7</v>
      </c>
      <c r="F1809" s="4" t="s">
        <v>3818</v>
      </c>
    </row>
    <row r="1810" spans="1:6" x14ac:dyDescent="0.25">
      <c r="A1810" s="4" t="str">
        <f>CONCATENATE("3071-0000-2198","")</f>
        <v>3071-0000-2198</v>
      </c>
      <c r="B1810" s="4" t="s">
        <v>3700</v>
      </c>
      <c r="C1810" s="5">
        <v>41489</v>
      </c>
      <c r="D1810" s="5">
        <v>41549</v>
      </c>
      <c r="E1810" s="4" t="s">
        <v>2944</v>
      </c>
      <c r="F1810" s="4" t="s">
        <v>2945</v>
      </c>
    </row>
    <row r="1811" spans="1:6" x14ac:dyDescent="0.25">
      <c r="A1811" s="4" t="str">
        <f>CONCATENATE("3071-0000-1979","")</f>
        <v>3071-0000-1979</v>
      </c>
      <c r="B1811" s="4" t="s">
        <v>3112</v>
      </c>
      <c r="C1811" s="5">
        <v>41489</v>
      </c>
      <c r="D1811" s="5">
        <v>41549</v>
      </c>
      <c r="E1811" s="4" t="s">
        <v>2944</v>
      </c>
      <c r="F1811" s="4" t="s">
        <v>2945</v>
      </c>
    </row>
    <row r="1812" spans="1:6" x14ac:dyDescent="0.25">
      <c r="A1812" s="4" t="str">
        <f>CONCATENATE("3071-0000-2329","")</f>
        <v>3071-0000-2329</v>
      </c>
      <c r="B1812" s="4" t="s">
        <v>3064</v>
      </c>
      <c r="C1812" s="5">
        <v>41489</v>
      </c>
      <c r="D1812" s="5">
        <v>41549</v>
      </c>
      <c r="E1812" s="4" t="s">
        <v>2944</v>
      </c>
      <c r="F1812" s="4" t="s">
        <v>2945</v>
      </c>
    </row>
    <row r="1813" spans="1:6" x14ac:dyDescent="0.25">
      <c r="A1813" s="4" t="str">
        <f>CONCATENATE("3071-0000-2644","")</f>
        <v>3071-0000-2644</v>
      </c>
      <c r="B1813" s="4" t="s">
        <v>3020</v>
      </c>
      <c r="C1813" s="5">
        <v>41489</v>
      </c>
      <c r="D1813" s="5">
        <v>41549</v>
      </c>
      <c r="E1813" s="4" t="s">
        <v>2944</v>
      </c>
      <c r="F1813" s="4" t="s">
        <v>2945</v>
      </c>
    </row>
    <row r="1814" spans="1:6" x14ac:dyDescent="0.25">
      <c r="A1814" s="4" t="str">
        <f>CONCATENATE("3071-0000-5522","")</f>
        <v>3071-0000-5522</v>
      </c>
      <c r="B1814" s="4" t="s">
        <v>6656</v>
      </c>
      <c r="C1814" s="5">
        <v>41489</v>
      </c>
      <c r="D1814" s="5">
        <v>41549</v>
      </c>
      <c r="E1814" s="4" t="s">
        <v>1410</v>
      </c>
      <c r="F1814" s="4" t="s">
        <v>6635</v>
      </c>
    </row>
    <row r="1815" spans="1:6" x14ac:dyDescent="0.25">
      <c r="A1815" s="4" t="str">
        <f>CONCATENATE("3071-0000-6942","")</f>
        <v>3071-0000-6942</v>
      </c>
      <c r="B1815" s="4" t="s">
        <v>4555</v>
      </c>
      <c r="C1815" s="5">
        <v>41489</v>
      </c>
      <c r="D1815" s="5">
        <v>41549</v>
      </c>
      <c r="E1815" s="4" t="s">
        <v>1410</v>
      </c>
      <c r="F1815" s="4" t="s">
        <v>1410</v>
      </c>
    </row>
    <row r="1816" spans="1:6" x14ac:dyDescent="0.25">
      <c r="A1816" s="4" t="str">
        <f>CONCATENATE("3071-0000-4854","")</f>
        <v>3071-0000-4854</v>
      </c>
      <c r="B1816" s="4" t="s">
        <v>8720</v>
      </c>
      <c r="C1816" s="5">
        <v>41489</v>
      </c>
      <c r="D1816" s="5">
        <v>41549</v>
      </c>
      <c r="E1816" s="4" t="s">
        <v>1410</v>
      </c>
      <c r="F1816" s="4" t="s">
        <v>8696</v>
      </c>
    </row>
    <row r="1817" spans="1:6" x14ac:dyDescent="0.25">
      <c r="A1817" s="4" t="str">
        <f>CONCATENATE("3071-0000-4260","")</f>
        <v>3071-0000-4260</v>
      </c>
      <c r="B1817" s="4" t="s">
        <v>8840</v>
      </c>
      <c r="C1817" s="5">
        <v>41489</v>
      </c>
      <c r="D1817" s="5">
        <v>41549</v>
      </c>
      <c r="E1817" s="4" t="s">
        <v>1410</v>
      </c>
      <c r="F1817" s="4" t="s">
        <v>8696</v>
      </c>
    </row>
    <row r="1818" spans="1:6" x14ac:dyDescent="0.25">
      <c r="A1818" s="4" t="str">
        <f>CONCATENATE("3071-0000-4306","")</f>
        <v>3071-0000-4306</v>
      </c>
      <c r="B1818" s="4" t="s">
        <v>8872</v>
      </c>
      <c r="C1818" s="5">
        <v>41489</v>
      </c>
      <c r="D1818" s="5">
        <v>41549</v>
      </c>
      <c r="E1818" s="4" t="s">
        <v>1410</v>
      </c>
      <c r="F1818" s="4" t="s">
        <v>8696</v>
      </c>
    </row>
    <row r="1819" spans="1:6" x14ac:dyDescent="0.25">
      <c r="A1819" s="4" t="str">
        <f>CONCATENATE("3071-0000-5101","")</f>
        <v>3071-0000-5101</v>
      </c>
      <c r="B1819" s="4" t="s">
        <v>8846</v>
      </c>
      <c r="C1819" s="5">
        <v>41489</v>
      </c>
      <c r="D1819" s="5">
        <v>41549</v>
      </c>
      <c r="E1819" s="4" t="s">
        <v>1410</v>
      </c>
      <c r="F1819" s="4" t="s">
        <v>5258</v>
      </c>
    </row>
    <row r="1820" spans="1:6" x14ac:dyDescent="0.25">
      <c r="A1820" s="4" t="str">
        <f>CONCATENATE("3071-0000-4787","")</f>
        <v>3071-0000-4787</v>
      </c>
      <c r="B1820" s="4" t="s">
        <v>8730</v>
      </c>
      <c r="C1820" s="5">
        <v>41489</v>
      </c>
      <c r="D1820" s="5">
        <v>41549</v>
      </c>
      <c r="E1820" s="4" t="s">
        <v>1410</v>
      </c>
      <c r="F1820" s="4" t="s">
        <v>8696</v>
      </c>
    </row>
    <row r="1821" spans="1:6" x14ac:dyDescent="0.25">
      <c r="A1821" s="4" t="str">
        <f>CONCATENATE("3071-0000-4272","")</f>
        <v>3071-0000-4272</v>
      </c>
      <c r="B1821" s="4" t="s">
        <v>8934</v>
      </c>
      <c r="C1821" s="5">
        <v>41489</v>
      </c>
      <c r="D1821" s="5">
        <v>41549</v>
      </c>
      <c r="E1821" s="4" t="s">
        <v>1410</v>
      </c>
      <c r="F1821" s="4" t="s">
        <v>8696</v>
      </c>
    </row>
    <row r="1822" spans="1:6" x14ac:dyDescent="0.25">
      <c r="A1822" s="4" t="str">
        <f>CONCATENATE("3071-0000-2902","")</f>
        <v>3071-0000-2902</v>
      </c>
      <c r="B1822" s="4" t="s">
        <v>1126</v>
      </c>
      <c r="C1822" s="5">
        <v>41489</v>
      </c>
      <c r="D1822" s="5">
        <v>41549</v>
      </c>
      <c r="E1822" s="4" t="s">
        <v>7</v>
      </c>
      <c r="F1822" s="4" t="s">
        <v>808</v>
      </c>
    </row>
    <row r="1823" spans="1:6" x14ac:dyDescent="0.25">
      <c r="A1823" s="4" t="str">
        <f>CONCATENATE("3071-0000-3038","")</f>
        <v>3071-0000-3038</v>
      </c>
      <c r="B1823" s="4" t="s">
        <v>1094</v>
      </c>
      <c r="C1823" s="5">
        <v>41489</v>
      </c>
      <c r="D1823" s="5">
        <v>41549</v>
      </c>
      <c r="E1823" s="4" t="s">
        <v>7</v>
      </c>
      <c r="F1823" s="4" t="s">
        <v>808</v>
      </c>
    </row>
    <row r="1824" spans="1:6" x14ac:dyDescent="0.25">
      <c r="A1824" s="4" t="str">
        <f>CONCATENATE("3071-0000-2820","")</f>
        <v>3071-0000-2820</v>
      </c>
      <c r="B1824" s="4" t="s">
        <v>1059</v>
      </c>
      <c r="C1824" s="5">
        <v>41489</v>
      </c>
      <c r="D1824" s="5">
        <v>41549</v>
      </c>
      <c r="E1824" s="4" t="s">
        <v>7</v>
      </c>
      <c r="F1824" s="4" t="s">
        <v>808</v>
      </c>
    </row>
    <row r="1825" spans="1:6" x14ac:dyDescent="0.25">
      <c r="A1825" s="4" t="str">
        <f>CONCATENATE("3071-0000-3704","")</f>
        <v>3071-0000-3704</v>
      </c>
      <c r="B1825" s="4" t="s">
        <v>1446</v>
      </c>
      <c r="C1825" s="5">
        <v>41489</v>
      </c>
      <c r="D1825" s="5">
        <v>41549</v>
      </c>
      <c r="E1825" s="4" t="s">
        <v>1410</v>
      </c>
      <c r="F1825" s="4" t="s">
        <v>1411</v>
      </c>
    </row>
    <row r="1826" spans="1:6" x14ac:dyDescent="0.25">
      <c r="A1826" s="4" t="str">
        <f>CONCATENATE("3071-0000-7003","")</f>
        <v>3071-0000-7003</v>
      </c>
      <c r="B1826" s="4" t="s">
        <v>4420</v>
      </c>
      <c r="C1826" s="5">
        <v>41489</v>
      </c>
      <c r="D1826" s="5">
        <v>41549</v>
      </c>
      <c r="E1826" s="4" t="s">
        <v>1410</v>
      </c>
      <c r="F1826" s="4" t="s">
        <v>1410</v>
      </c>
    </row>
    <row r="1827" spans="1:6" x14ac:dyDescent="0.25">
      <c r="A1827" s="4" t="str">
        <f>CONCATENATE("3071-0000-4087","")</f>
        <v>3071-0000-4087</v>
      </c>
      <c r="B1827" s="4" t="s">
        <v>3895</v>
      </c>
      <c r="C1827" s="5">
        <v>41489</v>
      </c>
      <c r="D1827" s="5">
        <v>41549</v>
      </c>
      <c r="E1827" s="4" t="s">
        <v>7</v>
      </c>
      <c r="F1827" s="4" t="s">
        <v>3818</v>
      </c>
    </row>
    <row r="1828" spans="1:6" x14ac:dyDescent="0.25">
      <c r="A1828" s="4" t="str">
        <f>CONCATENATE("3071-0000-8775","")</f>
        <v>3071-0000-8775</v>
      </c>
      <c r="B1828" s="4" t="s">
        <v>6587</v>
      </c>
      <c r="C1828" s="5">
        <v>41489</v>
      </c>
      <c r="D1828" s="5">
        <v>41549</v>
      </c>
      <c r="E1828" s="4" t="s">
        <v>5185</v>
      </c>
      <c r="F1828" s="4" t="s">
        <v>5292</v>
      </c>
    </row>
    <row r="1829" spans="1:6" x14ac:dyDescent="0.25">
      <c r="A1829" s="4" t="str">
        <f>CONCATENATE("3071-0000-5728","")</f>
        <v>3071-0000-5728</v>
      </c>
      <c r="B1829" s="4" t="s">
        <v>7442</v>
      </c>
      <c r="C1829" s="5">
        <v>41489</v>
      </c>
      <c r="D1829" s="5">
        <v>41549</v>
      </c>
      <c r="E1829" s="4" t="s">
        <v>5185</v>
      </c>
      <c r="F1829" s="4" t="s">
        <v>5185</v>
      </c>
    </row>
    <row r="1830" spans="1:6" x14ac:dyDescent="0.25">
      <c r="A1830" s="4" t="str">
        <f>CONCATENATE("3071-0000-3889","")</f>
        <v>3071-0000-3889</v>
      </c>
      <c r="B1830" s="4" t="s">
        <v>4107</v>
      </c>
      <c r="C1830" s="5">
        <v>41489</v>
      </c>
      <c r="D1830" s="5">
        <v>41549</v>
      </c>
      <c r="E1830" s="4" t="s">
        <v>7</v>
      </c>
      <c r="F1830" s="4" t="s">
        <v>3902</v>
      </c>
    </row>
    <row r="1831" spans="1:6" x14ac:dyDescent="0.25">
      <c r="A1831" s="4" t="str">
        <f>CONCATENATE("3071-0000-8550","")</f>
        <v>3071-0000-8550</v>
      </c>
      <c r="B1831" s="4" t="s">
        <v>6120</v>
      </c>
      <c r="C1831" s="5">
        <v>41489</v>
      </c>
      <c r="D1831" s="5">
        <v>41549</v>
      </c>
      <c r="E1831" s="4" t="s">
        <v>5185</v>
      </c>
      <c r="F1831" s="4" t="s">
        <v>5945</v>
      </c>
    </row>
    <row r="1832" spans="1:6" x14ac:dyDescent="0.25">
      <c r="A1832" s="4" t="str">
        <f>CONCATENATE("3071-0000-9165","")</f>
        <v>3071-0000-9165</v>
      </c>
      <c r="B1832" s="4" t="s">
        <v>6174</v>
      </c>
      <c r="C1832" s="5">
        <v>41489</v>
      </c>
      <c r="D1832" s="5">
        <v>41549</v>
      </c>
      <c r="E1832" s="4" t="s">
        <v>5185</v>
      </c>
      <c r="F1832" s="4" t="s">
        <v>5945</v>
      </c>
    </row>
    <row r="1833" spans="1:6" x14ac:dyDescent="0.25">
      <c r="A1833" s="4" t="str">
        <f>CONCATENATE("3071-0000-8544","")</f>
        <v>3071-0000-8544</v>
      </c>
      <c r="B1833" s="4" t="s">
        <v>6086</v>
      </c>
      <c r="C1833" s="5">
        <v>41489</v>
      </c>
      <c r="D1833" s="5">
        <v>41549</v>
      </c>
      <c r="E1833" s="4" t="s">
        <v>5185</v>
      </c>
      <c r="F1833" s="4" t="s">
        <v>5945</v>
      </c>
    </row>
    <row r="1834" spans="1:6" x14ac:dyDescent="0.25">
      <c r="A1834" s="4" t="str">
        <f>CONCATENATE("3071-0000-8197","")</f>
        <v>3071-0000-8197</v>
      </c>
      <c r="B1834" s="4" t="s">
        <v>5963</v>
      </c>
      <c r="C1834" s="5">
        <v>41489</v>
      </c>
      <c r="D1834" s="5">
        <v>41549</v>
      </c>
      <c r="E1834" s="4" t="s">
        <v>5185</v>
      </c>
      <c r="F1834" s="4" t="s">
        <v>5185</v>
      </c>
    </row>
    <row r="1835" spans="1:6" x14ac:dyDescent="0.25">
      <c r="A1835" s="4" t="str">
        <f>CONCATENATE("3071-0000-4125","")</f>
        <v>3071-0000-4125</v>
      </c>
      <c r="B1835" s="4" t="s">
        <v>4259</v>
      </c>
      <c r="C1835" s="5">
        <v>41489</v>
      </c>
      <c r="D1835" s="5">
        <v>41549</v>
      </c>
      <c r="E1835" s="4" t="s">
        <v>7</v>
      </c>
      <c r="F1835" s="4" t="s">
        <v>1419</v>
      </c>
    </row>
    <row r="1836" spans="1:6" x14ac:dyDescent="0.25">
      <c r="A1836" s="4" t="str">
        <f>CONCATENATE("3071-0000-0313","")</f>
        <v>3071-0000-0313</v>
      </c>
      <c r="B1836" s="4" t="s">
        <v>199</v>
      </c>
      <c r="C1836" s="5">
        <v>41489</v>
      </c>
      <c r="D1836" s="5">
        <v>41549</v>
      </c>
      <c r="E1836" s="4" t="s">
        <v>7</v>
      </c>
      <c r="F1836" s="4" t="s">
        <v>7</v>
      </c>
    </row>
    <row r="1837" spans="1:6" x14ac:dyDescent="0.25">
      <c r="A1837" s="4" t="str">
        <f>CONCATENATE("3071-0000-0061","")</f>
        <v>3071-0000-0061</v>
      </c>
      <c r="B1837" s="4" t="s">
        <v>121</v>
      </c>
      <c r="C1837" s="5">
        <v>41489</v>
      </c>
      <c r="D1837" s="5">
        <v>41549</v>
      </c>
      <c r="E1837" s="4" t="s">
        <v>7</v>
      </c>
      <c r="F1837" s="4" t="s">
        <v>7</v>
      </c>
    </row>
    <row r="1838" spans="1:6" x14ac:dyDescent="0.25">
      <c r="A1838" s="4" t="str">
        <f>CONCATENATE("3071-0000-3781","")</f>
        <v>3071-0000-3781</v>
      </c>
      <c r="B1838" s="4" t="s">
        <v>3820</v>
      </c>
      <c r="C1838" s="5">
        <v>41489</v>
      </c>
      <c r="D1838" s="5">
        <v>41549</v>
      </c>
      <c r="E1838" s="4" t="s">
        <v>7</v>
      </c>
      <c r="F1838" s="4" t="s">
        <v>3818</v>
      </c>
    </row>
    <row r="1839" spans="1:6" x14ac:dyDescent="0.25">
      <c r="A1839" s="4" t="str">
        <f>CONCATENATE("3071-0000-8642","")</f>
        <v>3071-0000-8642</v>
      </c>
      <c r="B1839" s="4" t="s">
        <v>6440</v>
      </c>
      <c r="C1839" s="5">
        <v>41489</v>
      </c>
      <c r="D1839" s="5">
        <v>41549</v>
      </c>
      <c r="E1839" s="4" t="s">
        <v>5185</v>
      </c>
      <c r="F1839" s="4" t="s">
        <v>5292</v>
      </c>
    </row>
    <row r="1840" spans="1:6" x14ac:dyDescent="0.25">
      <c r="A1840" s="4" t="str">
        <f>CONCATENATE("3071-0000-5711","")</f>
        <v>3071-0000-5711</v>
      </c>
      <c r="B1840" s="4" t="s">
        <v>6972</v>
      </c>
      <c r="C1840" s="5">
        <v>41489</v>
      </c>
      <c r="D1840" s="5">
        <v>41549</v>
      </c>
      <c r="E1840" s="4" t="s">
        <v>5185</v>
      </c>
      <c r="F1840" s="4" t="s">
        <v>5185</v>
      </c>
    </row>
    <row r="1841" spans="1:6" x14ac:dyDescent="0.25">
      <c r="A1841" s="4" t="str">
        <f>CONCATENATE("3071-0000-3819","")</f>
        <v>3071-0000-3819</v>
      </c>
      <c r="B1841" s="4" t="s">
        <v>3869</v>
      </c>
      <c r="C1841" s="5">
        <v>41489</v>
      </c>
      <c r="D1841" s="5">
        <v>41549</v>
      </c>
      <c r="E1841" s="4" t="s">
        <v>2944</v>
      </c>
      <c r="F1841" s="4" t="s">
        <v>3513</v>
      </c>
    </row>
    <row r="1842" spans="1:6" x14ac:dyDescent="0.25">
      <c r="A1842" s="4" t="str">
        <f>CONCATENATE("3071-0000-8861","")</f>
        <v>3071-0000-8861</v>
      </c>
      <c r="B1842" s="4" t="s">
        <v>6413</v>
      </c>
      <c r="C1842" s="5">
        <v>41489</v>
      </c>
      <c r="D1842" s="5">
        <v>41549</v>
      </c>
      <c r="E1842" s="4" t="s">
        <v>5185</v>
      </c>
      <c r="F1842" s="4" t="s">
        <v>6181</v>
      </c>
    </row>
    <row r="1843" spans="1:6" x14ac:dyDescent="0.25">
      <c r="A1843" s="4" t="str">
        <f>CONCATENATE("3071-0000-8716","")</f>
        <v>3071-0000-8716</v>
      </c>
      <c r="B1843" s="4" t="s">
        <v>6357</v>
      </c>
      <c r="C1843" s="5">
        <v>41489</v>
      </c>
      <c r="D1843" s="5">
        <v>41549</v>
      </c>
      <c r="E1843" s="4" t="s">
        <v>5185</v>
      </c>
      <c r="F1843" s="4" t="s">
        <v>5292</v>
      </c>
    </row>
    <row r="1844" spans="1:6" x14ac:dyDescent="0.25">
      <c r="A1844" s="4" t="str">
        <f>CONCATENATE("3071-0000-7566","")</f>
        <v>3071-0000-7566</v>
      </c>
      <c r="B1844" s="4" t="s">
        <v>4472</v>
      </c>
      <c r="C1844" s="5">
        <v>41489</v>
      </c>
      <c r="D1844" s="5">
        <v>41549</v>
      </c>
      <c r="E1844" s="4" t="s">
        <v>1410</v>
      </c>
      <c r="F1844" s="4" t="s">
        <v>1410</v>
      </c>
    </row>
    <row r="1845" spans="1:6" x14ac:dyDescent="0.25">
      <c r="A1845" s="4" t="str">
        <f>CONCATENATE("3071-0000-7758","")</f>
        <v>3071-0000-7758</v>
      </c>
      <c r="B1845" s="4" t="s">
        <v>4404</v>
      </c>
      <c r="C1845" s="5">
        <v>41489</v>
      </c>
      <c r="D1845" s="5">
        <v>41549</v>
      </c>
      <c r="E1845" s="4" t="s">
        <v>1410</v>
      </c>
      <c r="F1845" s="4" t="s">
        <v>1410</v>
      </c>
    </row>
    <row r="1846" spans="1:6" x14ac:dyDescent="0.25">
      <c r="A1846" s="4" t="str">
        <f>CONCATENATE("3071-0000-8876","")</f>
        <v>3071-0000-8876</v>
      </c>
      <c r="B1846" s="4" t="s">
        <v>5932</v>
      </c>
      <c r="C1846" s="5">
        <v>41489</v>
      </c>
      <c r="D1846" s="5">
        <v>41549</v>
      </c>
      <c r="E1846" s="4" t="s">
        <v>5185</v>
      </c>
      <c r="F1846" s="4" t="s">
        <v>4188</v>
      </c>
    </row>
    <row r="1847" spans="1:6" x14ac:dyDescent="0.25">
      <c r="A1847" s="4" t="str">
        <f>CONCATENATE("3071-0000-2931","")</f>
        <v>3071-0000-2931</v>
      </c>
      <c r="B1847" s="4" t="s">
        <v>1301</v>
      </c>
      <c r="C1847" s="5">
        <v>41489</v>
      </c>
      <c r="D1847" s="5">
        <v>41549</v>
      </c>
      <c r="E1847" s="4" t="s">
        <v>7</v>
      </c>
      <c r="F1847" s="4" t="s">
        <v>808</v>
      </c>
    </row>
    <row r="1848" spans="1:6" x14ac:dyDescent="0.25">
      <c r="A1848" s="4" t="str">
        <f>CONCATENATE("3071-0000-2969","")</f>
        <v>3071-0000-2969</v>
      </c>
      <c r="B1848" s="4" t="s">
        <v>831</v>
      </c>
      <c r="C1848" s="5">
        <v>41489</v>
      </c>
      <c r="D1848" s="5">
        <v>41549</v>
      </c>
      <c r="E1848" s="4" t="s">
        <v>7</v>
      </c>
      <c r="F1848" s="4" t="s">
        <v>808</v>
      </c>
    </row>
    <row r="1849" spans="1:6" x14ac:dyDescent="0.25">
      <c r="A1849" s="4" t="str">
        <f>CONCATENATE("3071-0000-2923","")</f>
        <v>3071-0000-2923</v>
      </c>
      <c r="B1849" s="4" t="s">
        <v>1320</v>
      </c>
      <c r="C1849" s="5">
        <v>41489</v>
      </c>
      <c r="D1849" s="5">
        <v>41549</v>
      </c>
      <c r="E1849" s="4" t="s">
        <v>7</v>
      </c>
      <c r="F1849" s="4" t="s">
        <v>808</v>
      </c>
    </row>
    <row r="1850" spans="1:6" x14ac:dyDescent="0.25">
      <c r="A1850" s="4" t="str">
        <f>CONCATENATE("3071-0000-3009","")</f>
        <v>3071-0000-3009</v>
      </c>
      <c r="B1850" s="4" t="s">
        <v>851</v>
      </c>
      <c r="C1850" s="5">
        <v>41489</v>
      </c>
      <c r="D1850" s="5">
        <v>41549</v>
      </c>
      <c r="E1850" s="4" t="s">
        <v>7</v>
      </c>
      <c r="F1850" s="4" t="s">
        <v>808</v>
      </c>
    </row>
    <row r="1851" spans="1:6" x14ac:dyDescent="0.25">
      <c r="A1851" s="4" t="str">
        <f>CONCATENATE("3071-0000-0244","")</f>
        <v>3071-0000-0244</v>
      </c>
      <c r="B1851" s="4" t="s">
        <v>536</v>
      </c>
      <c r="C1851" s="5">
        <v>41489</v>
      </c>
      <c r="D1851" s="5">
        <v>41549</v>
      </c>
      <c r="E1851" s="4" t="s">
        <v>7</v>
      </c>
      <c r="F1851" s="4" t="s">
        <v>7</v>
      </c>
    </row>
    <row r="1852" spans="1:6" x14ac:dyDescent="0.25">
      <c r="A1852" s="4" t="str">
        <f>CONCATENATE("3071-0000-2821","")</f>
        <v>3071-0000-2821</v>
      </c>
      <c r="B1852" s="4" t="s">
        <v>1068</v>
      </c>
      <c r="C1852" s="5">
        <v>41489</v>
      </c>
      <c r="D1852" s="5">
        <v>41549</v>
      </c>
      <c r="E1852" s="4" t="s">
        <v>7</v>
      </c>
      <c r="F1852" s="4" t="s">
        <v>808</v>
      </c>
    </row>
    <row r="1853" spans="1:6" x14ac:dyDescent="0.25">
      <c r="A1853" s="4" t="str">
        <f>CONCATENATE("3071-0000-1797","")</f>
        <v>3071-0000-1797</v>
      </c>
      <c r="B1853" s="4" t="s">
        <v>2858</v>
      </c>
      <c r="C1853" s="5">
        <v>41489</v>
      </c>
      <c r="D1853" s="5">
        <v>41549</v>
      </c>
      <c r="E1853" s="4" t="s">
        <v>1381</v>
      </c>
      <c r="F1853" s="4" t="s">
        <v>2840</v>
      </c>
    </row>
    <row r="1854" spans="1:6" x14ac:dyDescent="0.25">
      <c r="A1854" s="4" t="str">
        <f>CONCATENATE("3071-0000-1215","")</f>
        <v>3071-0000-1215</v>
      </c>
      <c r="B1854" s="4" t="s">
        <v>1989</v>
      </c>
      <c r="C1854" s="5">
        <v>41489</v>
      </c>
      <c r="D1854" s="5">
        <v>41549</v>
      </c>
      <c r="E1854" s="4" t="s">
        <v>1857</v>
      </c>
      <c r="F1854" s="4" t="s">
        <v>1857</v>
      </c>
    </row>
    <row r="1855" spans="1:6" x14ac:dyDescent="0.25">
      <c r="A1855" s="4" t="str">
        <f>CONCATENATE("3071-0000-0873","")</f>
        <v>3071-0000-0873</v>
      </c>
      <c r="B1855" s="4" t="s">
        <v>1916</v>
      </c>
      <c r="C1855" s="5">
        <v>41489</v>
      </c>
      <c r="D1855" s="5">
        <v>41549</v>
      </c>
      <c r="E1855" s="4" t="s">
        <v>1857</v>
      </c>
      <c r="F1855" s="4" t="s">
        <v>1857</v>
      </c>
    </row>
    <row r="1856" spans="1:6" x14ac:dyDescent="0.25">
      <c r="A1856" s="4" t="str">
        <f>CONCATENATE("3071-0000-6349","")</f>
        <v>3071-0000-6349</v>
      </c>
      <c r="B1856" s="4" t="s">
        <v>7867</v>
      </c>
      <c r="C1856" s="5">
        <v>41489</v>
      </c>
      <c r="D1856" s="5">
        <v>41549</v>
      </c>
      <c r="E1856" s="4" t="s">
        <v>5185</v>
      </c>
      <c r="F1856" s="4" t="s">
        <v>5185</v>
      </c>
    </row>
    <row r="1857" spans="1:6" x14ac:dyDescent="0.25">
      <c r="A1857" s="4" t="str">
        <f>CONCATENATE("3071-0000-1259","")</f>
        <v>3071-0000-1259</v>
      </c>
      <c r="B1857" s="4" t="s">
        <v>2350</v>
      </c>
      <c r="C1857" s="5">
        <v>41489</v>
      </c>
      <c r="D1857" s="5">
        <v>41549</v>
      </c>
      <c r="E1857" s="4" t="s">
        <v>1381</v>
      </c>
      <c r="F1857" s="4" t="s">
        <v>2303</v>
      </c>
    </row>
    <row r="1858" spans="1:6" x14ac:dyDescent="0.25">
      <c r="A1858" s="4" t="str">
        <f>CONCATENATE("3071-0000-2432","")</f>
        <v>3071-0000-2432</v>
      </c>
      <c r="B1858" s="4" t="s">
        <v>3170</v>
      </c>
      <c r="C1858" s="5">
        <v>41489</v>
      </c>
      <c r="D1858" s="5">
        <v>41549</v>
      </c>
      <c r="E1858" s="4" t="s">
        <v>2944</v>
      </c>
      <c r="F1858" s="4" t="s">
        <v>3164</v>
      </c>
    </row>
    <row r="1859" spans="1:6" x14ac:dyDescent="0.25">
      <c r="A1859" s="4" t="str">
        <f>CONCATENATE("3071-0000-2441","")</f>
        <v>3071-0000-2441</v>
      </c>
      <c r="B1859" s="4" t="s">
        <v>3189</v>
      </c>
      <c r="C1859" s="5">
        <v>41489</v>
      </c>
      <c r="D1859" s="5">
        <v>41549</v>
      </c>
      <c r="E1859" s="4" t="s">
        <v>2944</v>
      </c>
      <c r="F1859" s="4" t="s">
        <v>3164</v>
      </c>
    </row>
    <row r="1860" spans="1:6" x14ac:dyDescent="0.25">
      <c r="A1860" s="4" t="str">
        <f>CONCATENATE("3071-0000-5170","")</f>
        <v>3071-0000-5170</v>
      </c>
      <c r="B1860" s="4" t="s">
        <v>9008</v>
      </c>
      <c r="C1860" s="5">
        <v>41489</v>
      </c>
      <c r="D1860" s="5">
        <v>41549</v>
      </c>
      <c r="E1860" s="4" t="s">
        <v>1410</v>
      </c>
      <c r="F1860" s="4" t="s">
        <v>8903</v>
      </c>
    </row>
    <row r="1861" spans="1:6" x14ac:dyDescent="0.25">
      <c r="A1861" s="4" t="str">
        <f>CONCATENATE("3071-0000-8933","")</f>
        <v>3071-0000-8933</v>
      </c>
      <c r="B1861" s="4" t="s">
        <v>5332</v>
      </c>
      <c r="C1861" s="5">
        <v>41489</v>
      </c>
      <c r="D1861" s="5">
        <v>41549</v>
      </c>
      <c r="E1861" s="4" t="s">
        <v>1410</v>
      </c>
      <c r="F1861" s="4" t="s">
        <v>4616</v>
      </c>
    </row>
    <row r="1862" spans="1:6" x14ac:dyDescent="0.25">
      <c r="A1862" s="4" t="str">
        <f>CONCATENATE("3071-0000-5178","")</f>
        <v>3071-0000-5178</v>
      </c>
      <c r="B1862" s="4" t="s">
        <v>9001</v>
      </c>
      <c r="C1862" s="5">
        <v>41489</v>
      </c>
      <c r="D1862" s="5">
        <v>41549</v>
      </c>
      <c r="E1862" s="4" t="s">
        <v>1410</v>
      </c>
      <c r="F1862" s="4" t="s">
        <v>8903</v>
      </c>
    </row>
    <row r="1863" spans="1:6" x14ac:dyDescent="0.25">
      <c r="A1863" s="4" t="str">
        <f>CONCATENATE("3071-0000-1528","")</f>
        <v>3071-0000-1528</v>
      </c>
      <c r="B1863" s="4" t="s">
        <v>2777</v>
      </c>
      <c r="C1863" s="5">
        <v>41489</v>
      </c>
      <c r="D1863" s="5">
        <v>41549</v>
      </c>
      <c r="E1863" s="4" t="s">
        <v>1381</v>
      </c>
      <c r="F1863" s="4" t="s">
        <v>2303</v>
      </c>
    </row>
    <row r="1864" spans="1:6" x14ac:dyDescent="0.25">
      <c r="A1864" s="4" t="str">
        <f>CONCATENATE("3071-0000-8123","")</f>
        <v>3071-0000-8123</v>
      </c>
      <c r="B1864" s="4" t="s">
        <v>6010</v>
      </c>
      <c r="C1864" s="5">
        <v>41489</v>
      </c>
      <c r="D1864" s="5">
        <v>41549</v>
      </c>
      <c r="E1864" s="4" t="s">
        <v>5185</v>
      </c>
      <c r="F1864" s="4" t="s">
        <v>5185</v>
      </c>
    </row>
    <row r="1865" spans="1:6" x14ac:dyDescent="0.25">
      <c r="A1865" s="4" t="str">
        <f>CONCATENATE("3071-0000-0988","")</f>
        <v>3071-0000-0988</v>
      </c>
      <c r="B1865" s="4" t="s">
        <v>2200</v>
      </c>
      <c r="C1865" s="5">
        <v>41489</v>
      </c>
      <c r="D1865" s="5">
        <v>41549</v>
      </c>
      <c r="E1865" s="4" t="s">
        <v>1857</v>
      </c>
      <c r="F1865" s="4" t="s">
        <v>1857</v>
      </c>
    </row>
    <row r="1866" spans="1:6" x14ac:dyDescent="0.25">
      <c r="A1866" s="4" t="str">
        <f>CONCATENATE("3071-0000-3359","")</f>
        <v>3071-0000-3359</v>
      </c>
      <c r="B1866" s="4" t="s">
        <v>1492</v>
      </c>
      <c r="C1866" s="5">
        <v>41489</v>
      </c>
      <c r="D1866" s="5">
        <v>41549</v>
      </c>
      <c r="E1866" s="4" t="s">
        <v>1410</v>
      </c>
      <c r="F1866" s="4" t="s">
        <v>1411</v>
      </c>
    </row>
    <row r="1867" spans="1:6" x14ac:dyDescent="0.25">
      <c r="A1867" s="4" t="str">
        <f>CONCATENATE("3071-0000-4026","")</f>
        <v>3071-0000-4026</v>
      </c>
      <c r="B1867" s="4" t="s">
        <v>4222</v>
      </c>
      <c r="C1867" s="5">
        <v>41489</v>
      </c>
      <c r="D1867" s="5">
        <v>41549</v>
      </c>
      <c r="E1867" s="4" t="s">
        <v>7</v>
      </c>
      <c r="F1867" s="4" t="s">
        <v>1419</v>
      </c>
    </row>
    <row r="1868" spans="1:6" x14ac:dyDescent="0.25">
      <c r="A1868" s="4" t="str">
        <f>CONCATENATE("3071-0000-0281","")</f>
        <v>3071-0000-0281</v>
      </c>
      <c r="B1868" s="4" t="s">
        <v>673</v>
      </c>
      <c r="C1868" s="5">
        <v>41489</v>
      </c>
      <c r="D1868" s="5">
        <v>41549</v>
      </c>
      <c r="E1868" s="4" t="s">
        <v>7</v>
      </c>
      <c r="F1868" s="4" t="s">
        <v>7</v>
      </c>
    </row>
    <row r="1869" spans="1:6" x14ac:dyDescent="0.25">
      <c r="A1869" s="4" t="str">
        <f>CONCATENATE("3071-0000-4335","")</f>
        <v>3071-0000-4335</v>
      </c>
      <c r="B1869" s="4" t="s">
        <v>8776</v>
      </c>
      <c r="C1869" s="5">
        <v>41489</v>
      </c>
      <c r="D1869" s="5">
        <v>41549</v>
      </c>
      <c r="E1869" s="4" t="s">
        <v>1410</v>
      </c>
      <c r="F1869" s="4" t="s">
        <v>8696</v>
      </c>
    </row>
    <row r="1870" spans="1:6" x14ac:dyDescent="0.25">
      <c r="A1870" s="4" t="str">
        <f>CONCATENATE("3071-0000-4241","")</f>
        <v>3071-0000-4241</v>
      </c>
      <c r="B1870" s="4" t="s">
        <v>8705</v>
      </c>
      <c r="C1870" s="5">
        <v>41489</v>
      </c>
      <c r="D1870" s="5">
        <v>41549</v>
      </c>
      <c r="E1870" s="4" t="s">
        <v>1410</v>
      </c>
      <c r="F1870" s="4" t="s">
        <v>8696</v>
      </c>
    </row>
    <row r="1871" spans="1:6" x14ac:dyDescent="0.25">
      <c r="A1871" s="4" t="str">
        <f>CONCATENATE("3071-0000-1757","")</f>
        <v>3071-0000-1757</v>
      </c>
      <c r="B1871" s="4" t="s">
        <v>2815</v>
      </c>
      <c r="C1871" s="5">
        <v>41489</v>
      </c>
      <c r="D1871" s="5">
        <v>41549</v>
      </c>
      <c r="E1871" s="4" t="s">
        <v>1381</v>
      </c>
      <c r="F1871" s="4" t="s">
        <v>2533</v>
      </c>
    </row>
    <row r="1872" spans="1:6" x14ac:dyDescent="0.25">
      <c r="A1872" s="4" t="str">
        <f>CONCATENATE("3071-0000-1833","")</f>
        <v>3071-0000-1833</v>
      </c>
      <c r="B1872" s="4" t="s">
        <v>2522</v>
      </c>
      <c r="C1872" s="5">
        <v>41489</v>
      </c>
      <c r="D1872" s="5">
        <v>41549</v>
      </c>
      <c r="E1872" s="4" t="s">
        <v>1381</v>
      </c>
      <c r="F1872" s="4" t="s">
        <v>2303</v>
      </c>
    </row>
    <row r="1873" spans="1:6" x14ac:dyDescent="0.25">
      <c r="A1873" s="4" t="str">
        <f>CONCATENATE("3071-0000-6388","")</f>
        <v>3071-0000-6388</v>
      </c>
      <c r="B1873" s="4" t="s">
        <v>7829</v>
      </c>
      <c r="C1873" s="5">
        <v>41489</v>
      </c>
      <c r="D1873" s="5">
        <v>41549</v>
      </c>
      <c r="E1873" s="4" t="s">
        <v>5185</v>
      </c>
      <c r="F1873" s="4" t="s">
        <v>5185</v>
      </c>
    </row>
    <row r="1874" spans="1:6" x14ac:dyDescent="0.25">
      <c r="A1874" s="4" t="str">
        <f>CONCATENATE("3071-0000-6789","")</f>
        <v>3071-0000-6789</v>
      </c>
      <c r="B1874" s="4" t="s">
        <v>8220</v>
      </c>
      <c r="C1874" s="5">
        <v>41489</v>
      </c>
      <c r="D1874" s="5">
        <v>41549</v>
      </c>
      <c r="E1874" s="4" t="s">
        <v>1410</v>
      </c>
      <c r="F1874" s="4" t="s">
        <v>8192</v>
      </c>
    </row>
    <row r="1875" spans="1:6" x14ac:dyDescent="0.25">
      <c r="A1875" s="4" t="str">
        <f>CONCATENATE("3071-0000-3474","")</f>
        <v>3071-0000-3474</v>
      </c>
      <c r="B1875" s="4" t="s">
        <v>1765</v>
      </c>
      <c r="C1875" s="5">
        <v>41489</v>
      </c>
      <c r="D1875" s="5">
        <v>41549</v>
      </c>
      <c r="E1875" s="4" t="s">
        <v>1410</v>
      </c>
      <c r="F1875" s="4" t="s">
        <v>1411</v>
      </c>
    </row>
    <row r="1876" spans="1:6" x14ac:dyDescent="0.25">
      <c r="A1876" s="4" t="str">
        <f>CONCATENATE("3071-0000-1369","")</f>
        <v>3071-0000-1369</v>
      </c>
      <c r="B1876" s="4" t="s">
        <v>2529</v>
      </c>
      <c r="C1876" s="5">
        <v>41489</v>
      </c>
      <c r="D1876" s="5">
        <v>41549</v>
      </c>
      <c r="E1876" s="4" t="s">
        <v>1381</v>
      </c>
      <c r="F1876" s="4" t="s">
        <v>2303</v>
      </c>
    </row>
    <row r="1877" spans="1:6" x14ac:dyDescent="0.25">
      <c r="A1877" s="4" t="str">
        <f>CONCATENATE("3071-0000-1697","")</f>
        <v>3071-0000-1697</v>
      </c>
      <c r="B1877" s="4" t="s">
        <v>2308</v>
      </c>
      <c r="C1877" s="5">
        <v>41489</v>
      </c>
      <c r="D1877" s="5">
        <v>41549</v>
      </c>
      <c r="E1877" s="4" t="s">
        <v>1381</v>
      </c>
      <c r="F1877" s="4" t="s">
        <v>2301</v>
      </c>
    </row>
    <row r="1878" spans="1:6" x14ac:dyDescent="0.25">
      <c r="A1878" s="4" t="str">
        <f>CONCATENATE("3071-0000-9453","")</f>
        <v>3071-0000-9453</v>
      </c>
      <c r="B1878" s="4" t="s">
        <v>8520</v>
      </c>
      <c r="C1878" s="5">
        <v>41489</v>
      </c>
      <c r="D1878" s="5">
        <v>41549</v>
      </c>
      <c r="E1878" s="4" t="s">
        <v>1410</v>
      </c>
      <c r="F1878" s="4" t="s">
        <v>4459</v>
      </c>
    </row>
    <row r="1879" spans="1:6" x14ac:dyDescent="0.25">
      <c r="A1879" s="4" t="str">
        <f>CONCATENATE("3071-0000-3265","")</f>
        <v>3071-0000-3265</v>
      </c>
      <c r="B1879" s="4" t="s">
        <v>1159</v>
      </c>
      <c r="C1879" s="5">
        <v>41489</v>
      </c>
      <c r="D1879" s="5">
        <v>41549</v>
      </c>
      <c r="E1879" s="4" t="s">
        <v>7</v>
      </c>
      <c r="F1879" s="4" t="s">
        <v>808</v>
      </c>
    </row>
    <row r="1880" spans="1:6" x14ac:dyDescent="0.25">
      <c r="A1880" s="4" t="str">
        <f>CONCATENATE("3071-0000-6934","")</f>
        <v>3071-0000-6934</v>
      </c>
      <c r="B1880" s="4" t="s">
        <v>4576</v>
      </c>
      <c r="C1880" s="5">
        <v>41489</v>
      </c>
      <c r="D1880" s="5">
        <v>41549</v>
      </c>
      <c r="E1880" s="4" t="s">
        <v>1410</v>
      </c>
      <c r="F1880" s="4" t="s">
        <v>1410</v>
      </c>
    </row>
    <row r="1881" spans="1:6" x14ac:dyDescent="0.25">
      <c r="A1881" s="4" t="str">
        <f>CONCATENATE("3071-0000-6095","")</f>
        <v>3071-0000-6095</v>
      </c>
      <c r="B1881" s="4" t="s">
        <v>7726</v>
      </c>
      <c r="C1881" s="5">
        <v>41489</v>
      </c>
      <c r="D1881" s="5">
        <v>41549</v>
      </c>
      <c r="E1881" s="4" t="s">
        <v>1410</v>
      </c>
      <c r="F1881" s="4" t="s">
        <v>1410</v>
      </c>
    </row>
    <row r="1882" spans="1:6" x14ac:dyDescent="0.25">
      <c r="A1882" s="4" t="str">
        <f>CONCATENATE("3071-0000-6107","")</f>
        <v>3071-0000-6107</v>
      </c>
      <c r="B1882" s="4" t="s">
        <v>7721</v>
      </c>
      <c r="C1882" s="5">
        <v>41489</v>
      </c>
      <c r="D1882" s="5">
        <v>41549</v>
      </c>
      <c r="E1882" s="4" t="s">
        <v>1410</v>
      </c>
      <c r="F1882" s="4" t="s">
        <v>1410</v>
      </c>
    </row>
    <row r="1883" spans="1:6" x14ac:dyDescent="0.25">
      <c r="A1883" s="4" t="str">
        <f>CONCATENATE("3071-0000-0575","")</f>
        <v>3071-0000-0575</v>
      </c>
      <c r="B1883" s="4" t="s">
        <v>592</v>
      </c>
      <c r="C1883" s="5">
        <v>41489</v>
      </c>
      <c r="D1883" s="5">
        <v>41549</v>
      </c>
      <c r="E1883" s="4" t="s">
        <v>7</v>
      </c>
      <c r="F1883" s="4" t="s">
        <v>273</v>
      </c>
    </row>
    <row r="1884" spans="1:6" x14ac:dyDescent="0.25">
      <c r="A1884" s="4" t="str">
        <f>CONCATENATE("3071-0000-5906","")</f>
        <v>3071-0000-5906</v>
      </c>
      <c r="B1884" s="4" t="s">
        <v>7571</v>
      </c>
      <c r="C1884" s="5">
        <v>41489</v>
      </c>
      <c r="D1884" s="5">
        <v>41549</v>
      </c>
      <c r="E1884" s="4" t="s">
        <v>5185</v>
      </c>
      <c r="F1884" s="4" t="s">
        <v>5185</v>
      </c>
    </row>
    <row r="1885" spans="1:6" x14ac:dyDescent="0.25">
      <c r="A1885" s="4" t="str">
        <f>CONCATENATE("3071-0000-5888","")</f>
        <v>3071-0000-5888</v>
      </c>
      <c r="B1885" s="4" t="s">
        <v>7572</v>
      </c>
      <c r="C1885" s="5">
        <v>41489</v>
      </c>
      <c r="D1885" s="5">
        <v>41549</v>
      </c>
      <c r="E1885" s="4" t="s">
        <v>5185</v>
      </c>
      <c r="F1885" s="4" t="s">
        <v>5185</v>
      </c>
    </row>
    <row r="1886" spans="1:6" x14ac:dyDescent="0.25">
      <c r="A1886" s="4" t="str">
        <f>CONCATENATE("3071-0000-6103","")</f>
        <v>3071-0000-6103</v>
      </c>
      <c r="B1886" s="4" t="s">
        <v>7702</v>
      </c>
      <c r="C1886" s="5">
        <v>41489</v>
      </c>
      <c r="D1886" s="5">
        <v>41549</v>
      </c>
      <c r="E1886" s="4" t="s">
        <v>1410</v>
      </c>
      <c r="F1886" s="4" t="s">
        <v>1410</v>
      </c>
    </row>
    <row r="1887" spans="1:6" x14ac:dyDescent="0.25">
      <c r="A1887" s="4" t="str">
        <f>CONCATENATE("3071-0000-8806","")</f>
        <v>3071-0000-8806</v>
      </c>
      <c r="B1887" s="4" t="s">
        <v>6515</v>
      </c>
      <c r="C1887" s="5">
        <v>41489</v>
      </c>
      <c r="D1887" s="5">
        <v>41549</v>
      </c>
      <c r="E1887" s="4" t="s">
        <v>5185</v>
      </c>
      <c r="F1887" s="4" t="s">
        <v>5292</v>
      </c>
    </row>
    <row r="1888" spans="1:6" x14ac:dyDescent="0.25">
      <c r="A1888" s="4" t="str">
        <f>CONCATENATE("3071-0000-8500","")</f>
        <v>3071-0000-8500</v>
      </c>
      <c r="B1888" s="4" t="s">
        <v>6149</v>
      </c>
      <c r="C1888" s="5">
        <v>41489</v>
      </c>
      <c r="D1888" s="5">
        <v>41549</v>
      </c>
      <c r="E1888" s="4" t="s">
        <v>5185</v>
      </c>
      <c r="F1888" s="4" t="s">
        <v>5945</v>
      </c>
    </row>
    <row r="1889" spans="1:6" x14ac:dyDescent="0.25">
      <c r="A1889" s="4" t="str">
        <f>CONCATENATE("3071-0000-1526","")</f>
        <v>3071-0000-1526</v>
      </c>
      <c r="B1889" s="4" t="s">
        <v>2864</v>
      </c>
      <c r="C1889" s="5">
        <v>41489</v>
      </c>
      <c r="D1889" s="5">
        <v>41549</v>
      </c>
      <c r="E1889" s="4" t="s">
        <v>1381</v>
      </c>
      <c r="F1889" s="4" t="s">
        <v>2303</v>
      </c>
    </row>
    <row r="1890" spans="1:6" x14ac:dyDescent="0.25">
      <c r="A1890" s="4" t="str">
        <f>CONCATENATE("3071-0000-8168","")</f>
        <v>3071-0000-8168</v>
      </c>
      <c r="B1890" s="4" t="s">
        <v>5219</v>
      </c>
      <c r="C1890" s="5">
        <v>41489</v>
      </c>
      <c r="D1890" s="5">
        <v>41549</v>
      </c>
      <c r="E1890" s="4" t="s">
        <v>5185</v>
      </c>
      <c r="F1890" s="4" t="s">
        <v>5185</v>
      </c>
    </row>
    <row r="1891" spans="1:6" x14ac:dyDescent="0.25">
      <c r="A1891" s="4" t="str">
        <f>CONCATENATE("3071-0000-0351","")</f>
        <v>3071-0000-0351</v>
      </c>
      <c r="B1891" s="4" t="s">
        <v>231</v>
      </c>
      <c r="C1891" s="5">
        <v>41489</v>
      </c>
      <c r="D1891" s="5">
        <v>41549</v>
      </c>
      <c r="E1891" s="4" t="s">
        <v>7</v>
      </c>
      <c r="F1891" s="4" t="s">
        <v>7</v>
      </c>
    </row>
    <row r="1892" spans="1:6" x14ac:dyDescent="0.25">
      <c r="A1892" s="4" t="str">
        <f>CONCATENATE("3071-0000-8801","")</f>
        <v>3071-0000-8801</v>
      </c>
      <c r="B1892" s="4" t="s">
        <v>6553</v>
      </c>
      <c r="C1892" s="5">
        <v>41489</v>
      </c>
      <c r="D1892" s="5">
        <v>41549</v>
      </c>
      <c r="E1892" s="4" t="s">
        <v>5185</v>
      </c>
      <c r="F1892" s="4" t="s">
        <v>5292</v>
      </c>
    </row>
    <row r="1893" spans="1:6" x14ac:dyDescent="0.25">
      <c r="A1893" s="4" t="str">
        <f>CONCATENATE("3071-0000-4259","")</f>
        <v>3071-0000-4259</v>
      </c>
      <c r="B1893" s="4" t="s">
        <v>8850</v>
      </c>
      <c r="C1893" s="5">
        <v>41489</v>
      </c>
      <c r="D1893" s="5">
        <v>41549</v>
      </c>
      <c r="E1893" s="4" t="s">
        <v>1410</v>
      </c>
      <c r="F1893" s="4" t="s">
        <v>8696</v>
      </c>
    </row>
    <row r="1894" spans="1:6" x14ac:dyDescent="0.25">
      <c r="A1894" s="4" t="str">
        <f>CONCATENATE("3071-0000-7859","")</f>
        <v>3071-0000-7859</v>
      </c>
      <c r="B1894" s="4" t="s">
        <v>6320</v>
      </c>
      <c r="C1894" s="5">
        <v>41489</v>
      </c>
      <c r="D1894" s="5">
        <v>41549</v>
      </c>
      <c r="E1894" s="4" t="s">
        <v>5185</v>
      </c>
      <c r="F1894" s="4" t="s">
        <v>5185</v>
      </c>
    </row>
    <row r="1895" spans="1:6" x14ac:dyDescent="0.25">
      <c r="A1895" s="4" t="str">
        <f>CONCATENATE("3071-0000-5018","")</f>
        <v>3071-0000-5018</v>
      </c>
      <c r="B1895" s="4" t="s">
        <v>8838</v>
      </c>
      <c r="C1895" s="5">
        <v>41489</v>
      </c>
      <c r="D1895" s="5">
        <v>41549</v>
      </c>
      <c r="E1895" s="4" t="s">
        <v>1410</v>
      </c>
      <c r="F1895" s="4" t="s">
        <v>5258</v>
      </c>
    </row>
    <row r="1896" spans="1:6" x14ac:dyDescent="0.25">
      <c r="A1896" s="4" t="str">
        <f>CONCATENATE("3071-0000-8510","")</f>
        <v>3071-0000-8510</v>
      </c>
      <c r="B1896" s="4" t="s">
        <v>6343</v>
      </c>
      <c r="C1896" s="5">
        <v>41489</v>
      </c>
      <c r="D1896" s="5">
        <v>41549</v>
      </c>
      <c r="E1896" s="4" t="s">
        <v>5185</v>
      </c>
      <c r="F1896" s="4" t="s">
        <v>5945</v>
      </c>
    </row>
    <row r="1897" spans="1:6" x14ac:dyDescent="0.25">
      <c r="A1897" s="4" t="str">
        <f>CONCATENATE("3071-0000-8507","")</f>
        <v>3071-0000-8507</v>
      </c>
      <c r="B1897" s="4" t="s">
        <v>6344</v>
      </c>
      <c r="C1897" s="5">
        <v>41489</v>
      </c>
      <c r="D1897" s="5">
        <v>41549</v>
      </c>
      <c r="E1897" s="4" t="s">
        <v>5185</v>
      </c>
      <c r="F1897" s="4" t="s">
        <v>5945</v>
      </c>
    </row>
    <row r="1898" spans="1:6" x14ac:dyDescent="0.25">
      <c r="A1898" s="4" t="str">
        <f>CONCATENATE("3071-0000-8504","")</f>
        <v>3071-0000-8504</v>
      </c>
      <c r="B1898" s="4" t="s">
        <v>6337</v>
      </c>
      <c r="C1898" s="5">
        <v>41489</v>
      </c>
      <c r="D1898" s="5">
        <v>41549</v>
      </c>
      <c r="E1898" s="4" t="s">
        <v>5185</v>
      </c>
      <c r="F1898" s="4" t="s">
        <v>5945</v>
      </c>
    </row>
    <row r="1899" spans="1:6" x14ac:dyDescent="0.25">
      <c r="A1899" s="4" t="str">
        <f>CONCATENATE("3071-0000-0468","")</f>
        <v>3071-0000-0468</v>
      </c>
      <c r="B1899" s="4" t="s">
        <v>744</v>
      </c>
      <c r="C1899" s="5">
        <v>41489</v>
      </c>
      <c r="D1899" s="5">
        <v>41549</v>
      </c>
      <c r="E1899" s="4" t="s">
        <v>7</v>
      </c>
      <c r="F1899" s="4" t="s">
        <v>273</v>
      </c>
    </row>
    <row r="1900" spans="1:6" x14ac:dyDescent="0.25">
      <c r="A1900" s="4" t="str">
        <f>CONCATENATE("3071-0000-7820","")</f>
        <v>3071-0000-7820</v>
      </c>
      <c r="B1900" s="4" t="s">
        <v>5535</v>
      </c>
      <c r="C1900" s="5">
        <v>41489</v>
      </c>
      <c r="D1900" s="5">
        <v>41549</v>
      </c>
      <c r="E1900" s="4" t="s">
        <v>5185</v>
      </c>
      <c r="F1900" s="4" t="s">
        <v>5185</v>
      </c>
    </row>
    <row r="1901" spans="1:6" x14ac:dyDescent="0.25">
      <c r="A1901" s="4" t="str">
        <f>CONCATENATE("3071-0000-2363","")</f>
        <v>3071-0000-2363</v>
      </c>
      <c r="B1901" s="4" t="s">
        <v>3195</v>
      </c>
      <c r="C1901" s="5">
        <v>41489</v>
      </c>
      <c r="D1901" s="5">
        <v>41549</v>
      </c>
      <c r="E1901" s="4" t="s">
        <v>2944</v>
      </c>
      <c r="F1901" s="4" t="s">
        <v>2945</v>
      </c>
    </row>
    <row r="1902" spans="1:6" x14ac:dyDescent="0.25">
      <c r="A1902" s="4" t="str">
        <f>CONCATENATE("3071-0000-8982","")</f>
        <v>3071-0000-8982</v>
      </c>
      <c r="B1902" s="4" t="s">
        <v>6465</v>
      </c>
      <c r="C1902" s="5">
        <v>41489</v>
      </c>
      <c r="D1902" s="5">
        <v>41549</v>
      </c>
      <c r="E1902" s="4" t="s">
        <v>5185</v>
      </c>
      <c r="F1902" s="4" t="s">
        <v>5292</v>
      </c>
    </row>
    <row r="1903" spans="1:6" x14ac:dyDescent="0.25">
      <c r="A1903" s="4" t="str">
        <f>CONCATENATE("3071-0000-1812","")</f>
        <v>3071-0000-1812</v>
      </c>
      <c r="B1903" s="4" t="s">
        <v>2818</v>
      </c>
      <c r="C1903" s="5">
        <v>41489</v>
      </c>
      <c r="D1903" s="5">
        <v>41549</v>
      </c>
      <c r="E1903" s="4" t="s">
        <v>1381</v>
      </c>
      <c r="F1903" s="4" t="s">
        <v>2533</v>
      </c>
    </row>
    <row r="1904" spans="1:6" x14ac:dyDescent="0.25">
      <c r="A1904" s="4" t="str">
        <f>CONCATENATE("3071-0000-0302","")</f>
        <v>3071-0000-0302</v>
      </c>
      <c r="B1904" s="4" t="s">
        <v>726</v>
      </c>
      <c r="C1904" s="5">
        <v>41489</v>
      </c>
      <c r="D1904" s="5">
        <v>41549</v>
      </c>
      <c r="E1904" s="4" t="s">
        <v>7</v>
      </c>
      <c r="F1904" s="4" t="s">
        <v>7</v>
      </c>
    </row>
    <row r="1905" spans="1:6" x14ac:dyDescent="0.25">
      <c r="A1905" s="4" t="str">
        <f>CONCATENATE("3071-0000-3393","")</f>
        <v>3071-0000-3393</v>
      </c>
      <c r="B1905" s="4" t="s">
        <v>1543</v>
      </c>
      <c r="C1905" s="5">
        <v>41489</v>
      </c>
      <c r="D1905" s="5">
        <v>41549</v>
      </c>
      <c r="E1905" s="4" t="s">
        <v>1410</v>
      </c>
      <c r="F1905" s="4" t="s">
        <v>1411</v>
      </c>
    </row>
    <row r="1906" spans="1:6" x14ac:dyDescent="0.25">
      <c r="A1906" s="4" t="str">
        <f>CONCATENATE("3071-0000-6607","")</f>
        <v>3071-0000-6607</v>
      </c>
      <c r="B1906" s="4" t="s">
        <v>7983</v>
      </c>
      <c r="C1906" s="5">
        <v>41489</v>
      </c>
      <c r="D1906" s="5">
        <v>41549</v>
      </c>
      <c r="E1906" s="4" t="s">
        <v>5185</v>
      </c>
      <c r="F1906" s="4" t="s">
        <v>5185</v>
      </c>
    </row>
    <row r="1907" spans="1:6" x14ac:dyDescent="0.25">
      <c r="A1907" s="4" t="str">
        <f>CONCATENATE("3071-0000-6343","")</f>
        <v>3071-0000-6343</v>
      </c>
      <c r="B1907" s="4" t="s">
        <v>7858</v>
      </c>
      <c r="C1907" s="5">
        <v>41489</v>
      </c>
      <c r="D1907" s="5">
        <v>41549</v>
      </c>
      <c r="E1907" s="4" t="s">
        <v>5185</v>
      </c>
      <c r="F1907" s="4" t="s">
        <v>5185</v>
      </c>
    </row>
    <row r="1908" spans="1:6" x14ac:dyDescent="0.25">
      <c r="A1908" s="4" t="str">
        <f>CONCATENATE("3071-0000-5176","")</f>
        <v>3071-0000-5176</v>
      </c>
      <c r="B1908" s="4" t="s">
        <v>9009</v>
      </c>
      <c r="C1908" s="5">
        <v>41489</v>
      </c>
      <c r="D1908" s="5">
        <v>41549</v>
      </c>
      <c r="E1908" s="4" t="s">
        <v>1410</v>
      </c>
      <c r="F1908" s="4" t="s">
        <v>8903</v>
      </c>
    </row>
    <row r="1909" spans="1:6" x14ac:dyDescent="0.25">
      <c r="A1909" s="4" t="str">
        <f>CONCATENATE("3071-0000-5167","")</f>
        <v>3071-0000-5167</v>
      </c>
      <c r="B1909" s="4" t="s">
        <v>9002</v>
      </c>
      <c r="C1909" s="5">
        <v>41489</v>
      </c>
      <c r="D1909" s="5">
        <v>41549</v>
      </c>
      <c r="E1909" s="4" t="s">
        <v>1410</v>
      </c>
      <c r="F1909" s="4" t="s">
        <v>8903</v>
      </c>
    </row>
    <row r="1910" spans="1:6" x14ac:dyDescent="0.25">
      <c r="A1910" s="4" t="str">
        <f>CONCATENATE("3071-0000-6368","")</f>
        <v>3071-0000-6368</v>
      </c>
      <c r="B1910" s="4" t="s">
        <v>7896</v>
      </c>
      <c r="C1910" s="5">
        <v>41489</v>
      </c>
      <c r="D1910" s="5">
        <v>41549</v>
      </c>
      <c r="E1910" s="4" t="s">
        <v>5185</v>
      </c>
      <c r="F1910" s="4" t="s">
        <v>5185</v>
      </c>
    </row>
    <row r="1911" spans="1:6" x14ac:dyDescent="0.25">
      <c r="A1911" s="4" t="str">
        <f>CONCATENATE("3071-0000-6786","")</f>
        <v>3071-0000-6786</v>
      </c>
      <c r="B1911" s="4" t="s">
        <v>7859</v>
      </c>
      <c r="C1911" s="5">
        <v>41489</v>
      </c>
      <c r="D1911" s="5">
        <v>41549</v>
      </c>
      <c r="E1911" s="4" t="s">
        <v>1410</v>
      </c>
      <c r="F1911" s="4" t="s">
        <v>4655</v>
      </c>
    </row>
    <row r="1912" spans="1:6" x14ac:dyDescent="0.25">
      <c r="A1912" s="4" t="str">
        <f>CONCATENATE("3071-0000-8485","")</f>
        <v>3071-0000-8485</v>
      </c>
      <c r="B1912" s="4" t="s">
        <v>6091</v>
      </c>
      <c r="C1912" s="5">
        <v>41489</v>
      </c>
      <c r="D1912" s="5">
        <v>41549</v>
      </c>
      <c r="E1912" s="4" t="s">
        <v>5185</v>
      </c>
      <c r="F1912" s="4" t="s">
        <v>5945</v>
      </c>
    </row>
    <row r="1913" spans="1:6" x14ac:dyDescent="0.25">
      <c r="A1913" s="4" t="str">
        <f>CONCATENATE("3071-0000-8109","")</f>
        <v>3071-0000-8109</v>
      </c>
      <c r="B1913" s="4" t="s">
        <v>5981</v>
      </c>
      <c r="C1913" s="5">
        <v>41489</v>
      </c>
      <c r="D1913" s="5">
        <v>41549</v>
      </c>
      <c r="E1913" s="4" t="s">
        <v>5185</v>
      </c>
      <c r="F1913" s="4" t="s">
        <v>5185</v>
      </c>
    </row>
    <row r="1914" spans="1:6" x14ac:dyDescent="0.25">
      <c r="A1914" s="4" t="str">
        <f>CONCATENATE("3071-0000-8108","")</f>
        <v>3071-0000-8108</v>
      </c>
      <c r="B1914" s="4" t="s">
        <v>5982</v>
      </c>
      <c r="C1914" s="5">
        <v>41489</v>
      </c>
      <c r="D1914" s="5">
        <v>41549</v>
      </c>
      <c r="E1914" s="4" t="s">
        <v>5185</v>
      </c>
      <c r="F1914" s="4" t="s">
        <v>5185</v>
      </c>
    </row>
    <row r="1915" spans="1:6" x14ac:dyDescent="0.25">
      <c r="A1915" s="4" t="str">
        <f>CONCATENATE("3071-0000-8125","")</f>
        <v>3071-0000-8125</v>
      </c>
      <c r="B1915" s="4" t="s">
        <v>6025</v>
      </c>
      <c r="C1915" s="5">
        <v>41489</v>
      </c>
      <c r="D1915" s="5">
        <v>41549</v>
      </c>
      <c r="E1915" s="4" t="s">
        <v>5185</v>
      </c>
      <c r="F1915" s="4" t="s">
        <v>5185</v>
      </c>
    </row>
    <row r="1916" spans="1:6" x14ac:dyDescent="0.25">
      <c r="A1916" s="4" t="str">
        <f>CONCATENATE("3071-0000-5817","")</f>
        <v>3071-0000-5817</v>
      </c>
      <c r="B1916" s="4" t="s">
        <v>7523</v>
      </c>
      <c r="C1916" s="5">
        <v>41489</v>
      </c>
      <c r="D1916" s="5">
        <v>41549</v>
      </c>
      <c r="E1916" s="4" t="s">
        <v>5185</v>
      </c>
      <c r="F1916" s="4" t="s">
        <v>5185</v>
      </c>
    </row>
    <row r="1917" spans="1:6" x14ac:dyDescent="0.25">
      <c r="A1917" s="4" t="str">
        <f>CONCATENATE("3071-0000-5566","")</f>
        <v>3071-0000-5566</v>
      </c>
      <c r="B1917" s="4" t="s">
        <v>6936</v>
      </c>
      <c r="C1917" s="5">
        <v>41489</v>
      </c>
      <c r="D1917" s="5">
        <v>41549</v>
      </c>
      <c r="E1917" s="4" t="s">
        <v>5185</v>
      </c>
      <c r="F1917" s="4" t="s">
        <v>5185</v>
      </c>
    </row>
    <row r="1918" spans="1:6" x14ac:dyDescent="0.25">
      <c r="A1918" s="4" t="str">
        <f>CONCATENATE("3071-0000-6984","")</f>
        <v>3071-0000-6984</v>
      </c>
      <c r="B1918" s="4" t="s">
        <v>4448</v>
      </c>
      <c r="C1918" s="5">
        <v>41489</v>
      </c>
      <c r="D1918" s="5">
        <v>41549</v>
      </c>
      <c r="E1918" s="4" t="s">
        <v>1410</v>
      </c>
      <c r="F1918" s="4" t="s">
        <v>1410</v>
      </c>
    </row>
    <row r="1919" spans="1:6" x14ac:dyDescent="0.25">
      <c r="A1919" s="4" t="str">
        <f>CONCATENATE("3071-0000-6870","")</f>
        <v>3071-0000-6870</v>
      </c>
      <c r="B1919" s="4" t="s">
        <v>4367</v>
      </c>
      <c r="C1919" s="5">
        <v>41489</v>
      </c>
      <c r="D1919" s="5">
        <v>41549</v>
      </c>
      <c r="E1919" s="4" t="s">
        <v>1410</v>
      </c>
      <c r="F1919" s="4" t="s">
        <v>1410</v>
      </c>
    </row>
    <row r="1920" spans="1:6" x14ac:dyDescent="0.25">
      <c r="A1920" s="4" t="str">
        <f>CONCATENATE("3071-0000-7456","")</f>
        <v>3071-0000-7456</v>
      </c>
      <c r="B1920" s="4" t="s">
        <v>4425</v>
      </c>
      <c r="C1920" s="5">
        <v>41489</v>
      </c>
      <c r="D1920" s="5">
        <v>41549</v>
      </c>
      <c r="E1920" s="4" t="s">
        <v>1410</v>
      </c>
      <c r="F1920" s="4" t="s">
        <v>1410</v>
      </c>
    </row>
    <row r="1921" spans="1:6" x14ac:dyDescent="0.25">
      <c r="A1921" s="4" t="str">
        <f>CONCATENATE("3071-0000-7428","")</f>
        <v>3071-0000-7428</v>
      </c>
      <c r="B1921" s="4" t="s">
        <v>4631</v>
      </c>
      <c r="C1921" s="5">
        <v>41489</v>
      </c>
      <c r="D1921" s="5">
        <v>41549</v>
      </c>
      <c r="E1921" s="4" t="s">
        <v>1410</v>
      </c>
      <c r="F1921" s="4" t="s">
        <v>1410</v>
      </c>
    </row>
    <row r="1922" spans="1:6" x14ac:dyDescent="0.25">
      <c r="A1922" s="4" t="str">
        <f>CONCATENATE("3071-0000-5433","")</f>
        <v>3071-0000-5433</v>
      </c>
      <c r="B1922" s="4" t="s">
        <v>6833</v>
      </c>
      <c r="C1922" s="5">
        <v>41489</v>
      </c>
      <c r="D1922" s="5">
        <v>41549</v>
      </c>
      <c r="E1922" s="4" t="s">
        <v>5185</v>
      </c>
      <c r="F1922" s="4" t="s">
        <v>5185</v>
      </c>
    </row>
    <row r="1923" spans="1:6" x14ac:dyDescent="0.25">
      <c r="A1923" s="4" t="str">
        <f>CONCATENATE("3071-0000-7516","")</f>
        <v>3071-0000-7516</v>
      </c>
      <c r="B1923" s="4" t="s">
        <v>5122</v>
      </c>
      <c r="C1923" s="5">
        <v>41489</v>
      </c>
      <c r="D1923" s="5">
        <v>41549</v>
      </c>
      <c r="E1923" s="4" t="s">
        <v>1410</v>
      </c>
      <c r="F1923" s="4" t="s">
        <v>4616</v>
      </c>
    </row>
    <row r="1924" spans="1:6" x14ac:dyDescent="0.25">
      <c r="A1924" s="4" t="str">
        <f>CONCATENATE("3071-0000-8937","")</f>
        <v>3071-0000-8937</v>
      </c>
      <c r="B1924" s="4" t="s">
        <v>5325</v>
      </c>
      <c r="C1924" s="5">
        <v>41489</v>
      </c>
      <c r="D1924" s="5">
        <v>41549</v>
      </c>
      <c r="E1924" s="4" t="s">
        <v>1410</v>
      </c>
      <c r="F1924" s="4" t="s">
        <v>4616</v>
      </c>
    </row>
    <row r="1925" spans="1:6" x14ac:dyDescent="0.25">
      <c r="A1925" s="4" t="str">
        <f>CONCATENATE("3071-0000-0502","")</f>
        <v>3071-0000-0502</v>
      </c>
      <c r="B1925" s="4" t="s">
        <v>753</v>
      </c>
      <c r="C1925" s="5">
        <v>41489</v>
      </c>
      <c r="D1925" s="5">
        <v>41549</v>
      </c>
      <c r="E1925" s="4" t="s">
        <v>7</v>
      </c>
      <c r="F1925" s="4" t="s">
        <v>273</v>
      </c>
    </row>
    <row r="1926" spans="1:6" x14ac:dyDescent="0.25">
      <c r="A1926" s="4" t="str">
        <f>CONCATENATE("3071-0000-6476","")</f>
        <v>3071-0000-6476</v>
      </c>
      <c r="B1926" s="4" t="s">
        <v>8117</v>
      </c>
      <c r="C1926" s="5">
        <v>41489</v>
      </c>
      <c r="D1926" s="5">
        <v>41549</v>
      </c>
      <c r="E1926" s="4" t="s">
        <v>5185</v>
      </c>
      <c r="F1926" s="4" t="s">
        <v>5185</v>
      </c>
    </row>
    <row r="1927" spans="1:6" x14ac:dyDescent="0.25">
      <c r="A1927" s="4" t="str">
        <f>CONCATENATE("3071-0000-2892","")</f>
        <v>3071-0000-2892</v>
      </c>
      <c r="B1927" s="4" t="s">
        <v>1074</v>
      </c>
      <c r="C1927" s="5">
        <v>41489</v>
      </c>
      <c r="D1927" s="5">
        <v>41549</v>
      </c>
      <c r="E1927" s="4" t="s">
        <v>7</v>
      </c>
      <c r="F1927" s="4" t="s">
        <v>808</v>
      </c>
    </row>
    <row r="1928" spans="1:6" x14ac:dyDescent="0.25">
      <c r="A1928" s="4" t="str">
        <f>CONCATENATE("3071-0000-3203","")</f>
        <v>3071-0000-3203</v>
      </c>
      <c r="B1928" s="4" t="s">
        <v>902</v>
      </c>
      <c r="C1928" s="5">
        <v>41489</v>
      </c>
      <c r="D1928" s="5">
        <v>41549</v>
      </c>
      <c r="E1928" s="4" t="s">
        <v>7</v>
      </c>
      <c r="F1928" s="4" t="s">
        <v>808</v>
      </c>
    </row>
    <row r="1929" spans="1:6" x14ac:dyDescent="0.25">
      <c r="A1929" s="4" t="str">
        <f>CONCATENATE("3071-0000-2772","")</f>
        <v>3071-0000-2772</v>
      </c>
      <c r="B1929" s="4" t="s">
        <v>901</v>
      </c>
      <c r="C1929" s="5">
        <v>41489</v>
      </c>
      <c r="D1929" s="5">
        <v>41549</v>
      </c>
      <c r="E1929" s="4" t="s">
        <v>7</v>
      </c>
      <c r="F1929" s="4" t="s">
        <v>808</v>
      </c>
    </row>
    <row r="1930" spans="1:6" x14ac:dyDescent="0.25">
      <c r="A1930" s="4" t="str">
        <f>CONCATENATE("3071-0000-3121","")</f>
        <v>3071-0000-3121</v>
      </c>
      <c r="B1930" s="4" t="s">
        <v>1024</v>
      </c>
      <c r="C1930" s="5">
        <v>41489</v>
      </c>
      <c r="D1930" s="5">
        <v>41549</v>
      </c>
      <c r="E1930" s="4" t="s">
        <v>7</v>
      </c>
      <c r="F1930" s="4" t="s">
        <v>808</v>
      </c>
    </row>
    <row r="1931" spans="1:6" x14ac:dyDescent="0.25">
      <c r="A1931" s="4" t="str">
        <f>CONCATENATE("3071-0000-5435","")</f>
        <v>3071-0000-5435</v>
      </c>
      <c r="B1931" s="4" t="s">
        <v>6891</v>
      </c>
      <c r="C1931" s="5">
        <v>41489</v>
      </c>
      <c r="D1931" s="5">
        <v>41549</v>
      </c>
      <c r="E1931" s="4" t="s">
        <v>5185</v>
      </c>
      <c r="F1931" s="4" t="s">
        <v>5185</v>
      </c>
    </row>
    <row r="1932" spans="1:6" x14ac:dyDescent="0.25">
      <c r="A1932" s="4" t="str">
        <f>CONCATENATE("3071-0000-1024","")</f>
        <v>3071-0000-1024</v>
      </c>
      <c r="B1932" s="4" t="s">
        <v>2249</v>
      </c>
      <c r="C1932" s="5">
        <v>41489</v>
      </c>
      <c r="D1932" s="5">
        <v>41549</v>
      </c>
      <c r="E1932" s="4" t="s">
        <v>1857</v>
      </c>
      <c r="F1932" s="4" t="s">
        <v>1857</v>
      </c>
    </row>
    <row r="1933" spans="1:6" x14ac:dyDescent="0.25">
      <c r="A1933" s="4" t="str">
        <f>CONCATENATE("3071-0000-0287","")</f>
        <v>3071-0000-0287</v>
      </c>
      <c r="B1933" s="4" t="s">
        <v>261</v>
      </c>
      <c r="C1933" s="5">
        <v>41489</v>
      </c>
      <c r="D1933" s="5">
        <v>41549</v>
      </c>
      <c r="E1933" s="4" t="s">
        <v>7</v>
      </c>
      <c r="F1933" s="4" t="s">
        <v>7</v>
      </c>
    </row>
    <row r="1934" spans="1:6" x14ac:dyDescent="0.25">
      <c r="A1934" s="4" t="str">
        <f>CONCATENATE("3071-0000-6410","")</f>
        <v>3071-0000-6410</v>
      </c>
      <c r="B1934" s="4" t="s">
        <v>8070</v>
      </c>
      <c r="C1934" s="5">
        <v>41489</v>
      </c>
      <c r="D1934" s="5">
        <v>41549</v>
      </c>
      <c r="E1934" s="4" t="s">
        <v>5185</v>
      </c>
      <c r="F1934" s="4" t="s">
        <v>5185</v>
      </c>
    </row>
    <row r="1935" spans="1:6" x14ac:dyDescent="0.25">
      <c r="A1935" s="4" t="str">
        <f>CONCATENATE("3071-0000-9395","")</f>
        <v>3071-0000-9395</v>
      </c>
      <c r="B1935" s="4" t="s">
        <v>8478</v>
      </c>
      <c r="C1935" s="5">
        <v>41489</v>
      </c>
      <c r="D1935" s="5">
        <v>41549</v>
      </c>
      <c r="E1935" s="4" t="s">
        <v>1410</v>
      </c>
      <c r="F1935" s="4" t="s">
        <v>4459</v>
      </c>
    </row>
    <row r="1936" spans="1:6" x14ac:dyDescent="0.25">
      <c r="A1936" s="4" t="str">
        <f>CONCATENATE("3071-0000-9595","")</f>
        <v>3071-0000-9595</v>
      </c>
      <c r="B1936" s="4" t="s">
        <v>8670</v>
      </c>
      <c r="C1936" s="5">
        <v>41489</v>
      </c>
      <c r="D1936" s="5">
        <v>41549</v>
      </c>
      <c r="E1936" s="4" t="s">
        <v>1410</v>
      </c>
      <c r="F1936" s="4" t="s">
        <v>4459</v>
      </c>
    </row>
    <row r="1937" spans="1:6" x14ac:dyDescent="0.25">
      <c r="A1937" s="4" t="str">
        <f>CONCATENATE("3071-0000-8408","")</f>
        <v>3071-0000-8408</v>
      </c>
      <c r="B1937" s="4" t="s">
        <v>5437</v>
      </c>
      <c r="C1937" s="5">
        <v>41489</v>
      </c>
      <c r="D1937" s="5">
        <v>41549</v>
      </c>
      <c r="E1937" s="4" t="s">
        <v>5185</v>
      </c>
      <c r="F1937" s="4" t="s">
        <v>5185</v>
      </c>
    </row>
    <row r="1938" spans="1:6" x14ac:dyDescent="0.25">
      <c r="A1938" s="4" t="str">
        <f>CONCATENATE("3071-0000-7013","")</f>
        <v>3071-0000-7013</v>
      </c>
      <c r="B1938" s="4" t="s">
        <v>4661</v>
      </c>
      <c r="C1938" s="5">
        <v>41489</v>
      </c>
      <c r="D1938" s="5">
        <v>41549</v>
      </c>
      <c r="E1938" s="4" t="s">
        <v>1410</v>
      </c>
      <c r="F1938" s="4" t="s">
        <v>1410</v>
      </c>
    </row>
    <row r="1939" spans="1:6" x14ac:dyDescent="0.25">
      <c r="A1939" s="4" t="str">
        <f>CONCATENATE("3071-0000-6391","")</f>
        <v>3071-0000-6391</v>
      </c>
      <c r="B1939" s="4" t="s">
        <v>7839</v>
      </c>
      <c r="C1939" s="5">
        <v>41489</v>
      </c>
      <c r="D1939" s="5">
        <v>41549</v>
      </c>
      <c r="E1939" s="4" t="s">
        <v>5185</v>
      </c>
      <c r="F1939" s="4" t="s">
        <v>5185</v>
      </c>
    </row>
    <row r="1940" spans="1:6" x14ac:dyDescent="0.25">
      <c r="A1940" s="4" t="str">
        <f>CONCATENATE("3071-0000-6578","")</f>
        <v>3071-0000-6578</v>
      </c>
      <c r="B1940" s="4" t="s">
        <v>8214</v>
      </c>
      <c r="C1940" s="5">
        <v>41489</v>
      </c>
      <c r="D1940" s="5">
        <v>41549</v>
      </c>
      <c r="E1940" s="4" t="s">
        <v>5185</v>
      </c>
      <c r="F1940" s="4" t="s">
        <v>5185</v>
      </c>
    </row>
    <row r="1941" spans="1:6" x14ac:dyDescent="0.25">
      <c r="A1941" s="4" t="str">
        <f>CONCATENATE("3071-0000-6409","")</f>
        <v>3071-0000-6409</v>
      </c>
      <c r="B1941" s="4" t="s">
        <v>8069</v>
      </c>
      <c r="C1941" s="5">
        <v>41489</v>
      </c>
      <c r="D1941" s="5">
        <v>41549</v>
      </c>
      <c r="E1941" s="4" t="s">
        <v>1410</v>
      </c>
      <c r="F1941" s="4" t="s">
        <v>7967</v>
      </c>
    </row>
    <row r="1942" spans="1:6" x14ac:dyDescent="0.25">
      <c r="A1942" s="4" t="str">
        <f>CONCATENATE("3071-0000-1300","")</f>
        <v>3071-0000-1300</v>
      </c>
      <c r="B1942" s="4" t="s">
        <v>2412</v>
      </c>
      <c r="C1942" s="5">
        <v>41489</v>
      </c>
      <c r="D1942" s="5">
        <v>41549</v>
      </c>
      <c r="E1942" s="4" t="s">
        <v>1381</v>
      </c>
      <c r="F1942" s="4" t="s">
        <v>2303</v>
      </c>
    </row>
    <row r="1943" spans="1:6" x14ac:dyDescent="0.25">
      <c r="A1943" s="4" t="str">
        <f>CONCATENATE("3071-0000-9305","")</f>
        <v>3071-0000-9305</v>
      </c>
      <c r="B1943" s="4" t="s">
        <v>8344</v>
      </c>
      <c r="C1943" s="5">
        <v>41489</v>
      </c>
      <c r="D1943" s="5">
        <v>41549</v>
      </c>
      <c r="E1943" s="4" t="s">
        <v>5185</v>
      </c>
      <c r="F1943" s="4" t="s">
        <v>5185</v>
      </c>
    </row>
    <row r="1944" spans="1:6" x14ac:dyDescent="0.25">
      <c r="A1944" s="4" t="str">
        <f>CONCATENATE("3071-0000-6576","")</f>
        <v>3071-0000-6576</v>
      </c>
      <c r="B1944" s="4" t="s">
        <v>8197</v>
      </c>
      <c r="C1944" s="5">
        <v>41489</v>
      </c>
      <c r="D1944" s="5">
        <v>41549</v>
      </c>
      <c r="E1944" s="4" t="s">
        <v>5185</v>
      </c>
      <c r="F1944" s="4" t="s">
        <v>5185</v>
      </c>
    </row>
    <row r="1945" spans="1:6" x14ac:dyDescent="0.25">
      <c r="A1945" s="4" t="str">
        <f>CONCATENATE("3071-0000-9414","")</f>
        <v>3071-0000-9414</v>
      </c>
      <c r="B1945" s="4" t="s">
        <v>8485</v>
      </c>
      <c r="C1945" s="5">
        <v>41489</v>
      </c>
      <c r="D1945" s="5">
        <v>41549</v>
      </c>
      <c r="E1945" s="4" t="s">
        <v>1410</v>
      </c>
      <c r="F1945" s="4" t="s">
        <v>4459</v>
      </c>
    </row>
    <row r="1946" spans="1:6" x14ac:dyDescent="0.25">
      <c r="A1946" s="4" t="str">
        <f>CONCATENATE("3071-0000-9415","")</f>
        <v>3071-0000-9415</v>
      </c>
      <c r="B1946" s="4" t="s">
        <v>8514</v>
      </c>
      <c r="C1946" s="5">
        <v>41489</v>
      </c>
      <c r="D1946" s="5">
        <v>41549</v>
      </c>
      <c r="E1946" s="4" t="s">
        <v>1410</v>
      </c>
      <c r="F1946" s="4" t="s">
        <v>4459</v>
      </c>
    </row>
    <row r="1947" spans="1:6" x14ac:dyDescent="0.25">
      <c r="A1947" s="4" t="str">
        <f>CONCATENATE("3071-0000-6544","")</f>
        <v>3071-0000-6544</v>
      </c>
      <c r="B1947" s="4" t="s">
        <v>7789</v>
      </c>
      <c r="C1947" s="5">
        <v>41489</v>
      </c>
      <c r="D1947" s="5">
        <v>41549</v>
      </c>
      <c r="E1947" s="4" t="s">
        <v>5185</v>
      </c>
      <c r="F1947" s="4" t="s">
        <v>5185</v>
      </c>
    </row>
    <row r="1948" spans="1:6" x14ac:dyDescent="0.25">
      <c r="A1948" s="4" t="str">
        <f>CONCATENATE("3071-0000-5704","")</f>
        <v>3071-0000-5704</v>
      </c>
      <c r="B1948" s="4" t="s">
        <v>7426</v>
      </c>
      <c r="C1948" s="5">
        <v>41489</v>
      </c>
      <c r="D1948" s="5">
        <v>41549</v>
      </c>
      <c r="E1948" s="4" t="s">
        <v>5185</v>
      </c>
      <c r="F1948" s="4" t="s">
        <v>5185</v>
      </c>
    </row>
    <row r="1949" spans="1:6" x14ac:dyDescent="0.25">
      <c r="A1949" s="4" t="str">
        <f>CONCATENATE("3071-0000-8162","")</f>
        <v>3071-0000-8162</v>
      </c>
      <c r="B1949" s="4" t="s">
        <v>5415</v>
      </c>
      <c r="C1949" s="5">
        <v>41489</v>
      </c>
      <c r="D1949" s="5">
        <v>41549</v>
      </c>
      <c r="E1949" s="4" t="s">
        <v>5185</v>
      </c>
      <c r="F1949" s="4" t="s">
        <v>5185</v>
      </c>
    </row>
    <row r="1950" spans="1:6" x14ac:dyDescent="0.25">
      <c r="A1950" s="4" t="str">
        <f>CONCATENATE("3071-0000-0887","")</f>
        <v>3071-0000-0887</v>
      </c>
      <c r="B1950" s="4" t="s">
        <v>2025</v>
      </c>
      <c r="C1950" s="5">
        <v>41489</v>
      </c>
      <c r="D1950" s="5">
        <v>41549</v>
      </c>
      <c r="E1950" s="4" t="s">
        <v>1857</v>
      </c>
      <c r="F1950" s="4" t="s">
        <v>1857</v>
      </c>
    </row>
    <row r="1951" spans="1:6" x14ac:dyDescent="0.25">
      <c r="A1951" s="4" t="str">
        <f>CONCATENATE("3071-0000-2180","")</f>
        <v>3071-0000-2180</v>
      </c>
      <c r="B1951" s="4" t="s">
        <v>3665</v>
      </c>
      <c r="C1951" s="5">
        <v>41489</v>
      </c>
      <c r="D1951" s="5">
        <v>41549</v>
      </c>
      <c r="E1951" s="4" t="s">
        <v>2944</v>
      </c>
      <c r="F1951" s="4" t="s">
        <v>2945</v>
      </c>
    </row>
    <row r="1952" spans="1:6" x14ac:dyDescent="0.25">
      <c r="A1952" s="4" t="str">
        <f>CONCATENATE("3071-0000-2178","")</f>
        <v>3071-0000-2178</v>
      </c>
      <c r="B1952" s="4" t="s">
        <v>3661</v>
      </c>
      <c r="C1952" s="5">
        <v>41489</v>
      </c>
      <c r="D1952" s="5">
        <v>41549</v>
      </c>
      <c r="E1952" s="4" t="s">
        <v>2944</v>
      </c>
      <c r="F1952" s="4" t="s">
        <v>2945</v>
      </c>
    </row>
    <row r="1953" spans="1:6" x14ac:dyDescent="0.25">
      <c r="A1953" s="4" t="str">
        <f>CONCATENATE("3071-0000-0418","")</f>
        <v>3071-0000-0418</v>
      </c>
      <c r="B1953" s="4" t="s">
        <v>238</v>
      </c>
      <c r="C1953" s="5">
        <v>41489</v>
      </c>
      <c r="D1953" s="5">
        <v>41549</v>
      </c>
      <c r="E1953" s="4" t="s">
        <v>7</v>
      </c>
      <c r="F1953" s="4" t="s">
        <v>7</v>
      </c>
    </row>
    <row r="1954" spans="1:6" x14ac:dyDescent="0.25">
      <c r="A1954" s="4" t="str">
        <f>CONCATENATE("3071-0000-5422","")</f>
        <v>3071-0000-5422</v>
      </c>
      <c r="B1954" s="4" t="s">
        <v>6917</v>
      </c>
      <c r="C1954" s="5">
        <v>41489</v>
      </c>
      <c r="D1954" s="5">
        <v>41549</v>
      </c>
      <c r="E1954" s="4" t="s">
        <v>5185</v>
      </c>
      <c r="F1954" s="4" t="s">
        <v>5185</v>
      </c>
    </row>
    <row r="1955" spans="1:6" x14ac:dyDescent="0.25">
      <c r="A1955" s="4" t="str">
        <f>CONCATENATE("3071-0000-4388","")</f>
        <v>3071-0000-4388</v>
      </c>
      <c r="B1955" s="4" t="s">
        <v>9241</v>
      </c>
      <c r="C1955" s="5">
        <v>41489</v>
      </c>
      <c r="D1955" s="5">
        <v>41549</v>
      </c>
      <c r="E1955" s="4" t="s">
        <v>1410</v>
      </c>
      <c r="F1955" s="4" t="s">
        <v>8696</v>
      </c>
    </row>
    <row r="1956" spans="1:6" x14ac:dyDescent="0.25">
      <c r="A1956" s="4" t="str">
        <f>CONCATENATE("3071-0000-3219","")</f>
        <v>3071-0000-3219</v>
      </c>
      <c r="B1956" s="4" t="s">
        <v>1399</v>
      </c>
      <c r="C1956" s="5">
        <v>41489</v>
      </c>
      <c r="D1956" s="5">
        <v>41549</v>
      </c>
      <c r="E1956" s="4" t="s">
        <v>7</v>
      </c>
      <c r="F1956" s="4" t="s">
        <v>808</v>
      </c>
    </row>
    <row r="1957" spans="1:6" x14ac:dyDescent="0.25">
      <c r="A1957" s="4" t="str">
        <f>CONCATENATE("3071-0000-3879","")</f>
        <v>3071-0000-3879</v>
      </c>
      <c r="B1957" s="4" t="s">
        <v>4031</v>
      </c>
      <c r="C1957" s="5">
        <v>41489</v>
      </c>
      <c r="D1957" s="5">
        <v>41549</v>
      </c>
      <c r="E1957" s="4" t="s">
        <v>1381</v>
      </c>
      <c r="F1957" s="4" t="s">
        <v>3994</v>
      </c>
    </row>
    <row r="1958" spans="1:6" x14ac:dyDescent="0.25">
      <c r="A1958" s="4" t="str">
        <f>CONCATENATE("3071-0000-4257","")</f>
        <v>3071-0000-4257</v>
      </c>
      <c r="B1958" s="4" t="s">
        <v>8849</v>
      </c>
      <c r="C1958" s="5">
        <v>41489</v>
      </c>
      <c r="D1958" s="5">
        <v>41549</v>
      </c>
      <c r="E1958" s="4" t="s">
        <v>1410</v>
      </c>
      <c r="F1958" s="4" t="s">
        <v>8696</v>
      </c>
    </row>
    <row r="1959" spans="1:6" x14ac:dyDescent="0.25">
      <c r="A1959" s="4" t="str">
        <f>CONCATENATE("3071-0000-6200","")</f>
        <v>3071-0000-6200</v>
      </c>
      <c r="B1959" s="4" t="s">
        <v>7599</v>
      </c>
      <c r="C1959" s="5">
        <v>41489</v>
      </c>
      <c r="D1959" s="5">
        <v>41549</v>
      </c>
      <c r="E1959" s="4" t="s">
        <v>1410</v>
      </c>
      <c r="F1959" s="4" t="s">
        <v>7309</v>
      </c>
    </row>
    <row r="1960" spans="1:6" x14ac:dyDescent="0.25">
      <c r="A1960" s="4" t="str">
        <f>CONCATENATE("3071-0000-4254","")</f>
        <v>3071-0000-4254</v>
      </c>
      <c r="B1960" s="4" t="s">
        <v>8835</v>
      </c>
      <c r="C1960" s="5">
        <v>41489</v>
      </c>
      <c r="D1960" s="5">
        <v>41549</v>
      </c>
      <c r="E1960" s="4" t="s">
        <v>1410</v>
      </c>
      <c r="F1960" s="4" t="s">
        <v>8696</v>
      </c>
    </row>
    <row r="1961" spans="1:6" x14ac:dyDescent="0.25">
      <c r="A1961" s="4" t="str">
        <f>CONCATENATE("3071-0000-4885","")</f>
        <v>3071-0000-4885</v>
      </c>
      <c r="B1961" s="4" t="s">
        <v>8795</v>
      </c>
      <c r="C1961" s="5">
        <v>41489</v>
      </c>
      <c r="D1961" s="5">
        <v>41549</v>
      </c>
      <c r="E1961" s="4" t="s">
        <v>1410</v>
      </c>
      <c r="F1961" s="4" t="s">
        <v>5258</v>
      </c>
    </row>
    <row r="1962" spans="1:6" x14ac:dyDescent="0.25">
      <c r="A1962" s="4" t="str">
        <f>CONCATENATE("3071-0000-4247","")</f>
        <v>3071-0000-4247</v>
      </c>
      <c r="B1962" s="4" t="s">
        <v>8834</v>
      </c>
      <c r="C1962" s="5">
        <v>41489</v>
      </c>
      <c r="D1962" s="5">
        <v>41549</v>
      </c>
      <c r="E1962" s="4" t="s">
        <v>1410</v>
      </c>
      <c r="F1962" s="4" t="s">
        <v>8696</v>
      </c>
    </row>
    <row r="1963" spans="1:6" x14ac:dyDescent="0.25">
      <c r="A1963" s="4" t="str">
        <f>CONCATENATE("3071-0000-4248","")</f>
        <v>3071-0000-4248</v>
      </c>
      <c r="B1963" s="4" t="s">
        <v>8821</v>
      </c>
      <c r="C1963" s="5">
        <v>41489</v>
      </c>
      <c r="D1963" s="5">
        <v>41549</v>
      </c>
      <c r="E1963" s="4" t="s">
        <v>1410</v>
      </c>
      <c r="F1963" s="4" t="s">
        <v>8696</v>
      </c>
    </row>
    <row r="1964" spans="1:6" x14ac:dyDescent="0.25">
      <c r="A1964" s="4" t="str">
        <f>CONCATENATE("3071-0000-2870","")</f>
        <v>3071-0000-2870</v>
      </c>
      <c r="B1964" s="4" t="s">
        <v>1390</v>
      </c>
      <c r="C1964" s="5">
        <v>41489</v>
      </c>
      <c r="D1964" s="5">
        <v>41549</v>
      </c>
      <c r="E1964" s="4" t="s">
        <v>7</v>
      </c>
      <c r="F1964" s="4" t="s">
        <v>808</v>
      </c>
    </row>
    <row r="1965" spans="1:6" x14ac:dyDescent="0.25">
      <c r="A1965" s="4" t="str">
        <f>CONCATENATE("3071-0000-6335","")</f>
        <v>3071-0000-6335</v>
      </c>
      <c r="B1965" s="4" t="s">
        <v>7365</v>
      </c>
      <c r="C1965" s="5">
        <v>41489</v>
      </c>
      <c r="D1965" s="5">
        <v>41549</v>
      </c>
      <c r="E1965" s="4" t="s">
        <v>1410</v>
      </c>
      <c r="F1965" s="4" t="s">
        <v>7309</v>
      </c>
    </row>
    <row r="1966" spans="1:6" x14ac:dyDescent="0.25">
      <c r="A1966" s="4" t="str">
        <f>CONCATENATE("3071-0000-6050","")</f>
        <v>3071-0000-6050</v>
      </c>
      <c r="B1966" s="4" t="s">
        <v>7604</v>
      </c>
      <c r="C1966" s="5">
        <v>41489</v>
      </c>
      <c r="D1966" s="5">
        <v>41549</v>
      </c>
      <c r="E1966" s="4" t="s">
        <v>1410</v>
      </c>
      <c r="F1966" s="4" t="s">
        <v>1410</v>
      </c>
    </row>
    <row r="1967" spans="1:6" x14ac:dyDescent="0.25">
      <c r="A1967" s="4" t="str">
        <f>CONCATENATE("3071-0000-6138","")</f>
        <v>3071-0000-6138</v>
      </c>
      <c r="B1967" s="4" t="s">
        <v>7657</v>
      </c>
      <c r="C1967" s="5">
        <v>41489</v>
      </c>
      <c r="D1967" s="5">
        <v>41549</v>
      </c>
      <c r="E1967" s="4" t="s">
        <v>1410</v>
      </c>
      <c r="F1967" s="4" t="s">
        <v>1410</v>
      </c>
    </row>
    <row r="1968" spans="1:6" x14ac:dyDescent="0.25">
      <c r="A1968" s="4" t="str">
        <f>CONCATENATE("3071-0000-5158","")</f>
        <v>3071-0000-5158</v>
      </c>
      <c r="B1968" s="4" t="s">
        <v>9005</v>
      </c>
      <c r="C1968" s="5">
        <v>41489</v>
      </c>
      <c r="D1968" s="5">
        <v>41549</v>
      </c>
      <c r="E1968" s="4" t="s">
        <v>1410</v>
      </c>
      <c r="F1968" s="4" t="s">
        <v>8903</v>
      </c>
    </row>
    <row r="1969" spans="1:6" x14ac:dyDescent="0.25">
      <c r="A1969" s="4" t="str">
        <f>CONCATENATE("3071-0000-5553","")</f>
        <v>3071-0000-5553</v>
      </c>
      <c r="B1969" s="4" t="s">
        <v>7362</v>
      </c>
      <c r="C1969" s="5">
        <v>41489</v>
      </c>
      <c r="D1969" s="5">
        <v>41549</v>
      </c>
      <c r="E1969" s="4" t="s">
        <v>5185</v>
      </c>
      <c r="F1969" s="4" t="s">
        <v>5185</v>
      </c>
    </row>
    <row r="1970" spans="1:6" x14ac:dyDescent="0.25">
      <c r="A1970" s="4" t="str">
        <f>CONCATENATE("3071-0000-6321","")</f>
        <v>3071-0000-6321</v>
      </c>
      <c r="B1970" s="4" t="s">
        <v>7616</v>
      </c>
      <c r="C1970" s="5">
        <v>41489</v>
      </c>
      <c r="D1970" s="5">
        <v>41549</v>
      </c>
      <c r="E1970" s="4" t="s">
        <v>1410</v>
      </c>
      <c r="F1970" s="4" t="s">
        <v>1410</v>
      </c>
    </row>
    <row r="1971" spans="1:6" x14ac:dyDescent="0.25">
      <c r="A1971" s="4" t="str">
        <f>CONCATENATE("3071-0000-8132","")</f>
        <v>3071-0000-8132</v>
      </c>
      <c r="B1971" s="4" t="s">
        <v>6023</v>
      </c>
      <c r="C1971" s="5">
        <v>41489</v>
      </c>
      <c r="D1971" s="5">
        <v>41549</v>
      </c>
      <c r="E1971" s="4" t="s">
        <v>5185</v>
      </c>
      <c r="F1971" s="4" t="s">
        <v>5185</v>
      </c>
    </row>
    <row r="1972" spans="1:6" x14ac:dyDescent="0.25">
      <c r="A1972" s="4" t="str">
        <f>CONCATENATE("3071-0000-8124","")</f>
        <v>3071-0000-8124</v>
      </c>
      <c r="B1972" s="4" t="s">
        <v>6024</v>
      </c>
      <c r="C1972" s="5">
        <v>41489</v>
      </c>
      <c r="D1972" s="5">
        <v>41549</v>
      </c>
      <c r="E1972" s="4" t="s">
        <v>5185</v>
      </c>
      <c r="F1972" s="4" t="s">
        <v>5185</v>
      </c>
    </row>
    <row r="1973" spans="1:6" x14ac:dyDescent="0.25">
      <c r="A1973" s="4" t="str">
        <f>CONCATENATE("3071-0000-3858","")</f>
        <v>3071-0000-3858</v>
      </c>
      <c r="B1973" s="4" t="s">
        <v>4004</v>
      </c>
      <c r="C1973" s="5">
        <v>41489</v>
      </c>
      <c r="D1973" s="5">
        <v>41549</v>
      </c>
      <c r="E1973" s="4" t="s">
        <v>1381</v>
      </c>
      <c r="F1973" s="4" t="s">
        <v>3994</v>
      </c>
    </row>
    <row r="1974" spans="1:6" x14ac:dyDescent="0.25">
      <c r="A1974" s="4" t="str">
        <f>CONCATENATE("3071-0000-9000","")</f>
        <v>3071-0000-9000</v>
      </c>
      <c r="B1974" s="4" t="s">
        <v>6027</v>
      </c>
      <c r="C1974" s="5">
        <v>41489</v>
      </c>
      <c r="D1974" s="5">
        <v>41549</v>
      </c>
      <c r="E1974" s="4" t="s">
        <v>5185</v>
      </c>
      <c r="F1974" s="4" t="s">
        <v>5945</v>
      </c>
    </row>
    <row r="1975" spans="1:6" x14ac:dyDescent="0.25">
      <c r="A1975" s="4" t="str">
        <f>CONCATENATE("3071-0000-8541","")</f>
        <v>3071-0000-8541</v>
      </c>
      <c r="B1975" s="4" t="s">
        <v>6139</v>
      </c>
      <c r="C1975" s="5">
        <v>41489</v>
      </c>
      <c r="D1975" s="5">
        <v>41549</v>
      </c>
      <c r="E1975" s="4" t="s">
        <v>5185</v>
      </c>
      <c r="F1975" s="4" t="s">
        <v>5945</v>
      </c>
    </row>
    <row r="1976" spans="1:6" x14ac:dyDescent="0.25">
      <c r="A1976" s="4" t="str">
        <f>CONCATENATE("3071-0000-8391","")</f>
        <v>3071-0000-8391</v>
      </c>
      <c r="B1976" s="4" t="s">
        <v>5868</v>
      </c>
      <c r="C1976" s="5">
        <v>41489</v>
      </c>
      <c r="D1976" s="5">
        <v>41549</v>
      </c>
      <c r="E1976" s="4" t="s">
        <v>5185</v>
      </c>
      <c r="F1976" s="4" t="s">
        <v>5185</v>
      </c>
    </row>
    <row r="1977" spans="1:6" x14ac:dyDescent="0.25">
      <c r="A1977" s="4" t="str">
        <f>CONCATENATE("3071-0000-8107","")</f>
        <v>3071-0000-8107</v>
      </c>
      <c r="B1977" s="4" t="s">
        <v>5983</v>
      </c>
      <c r="C1977" s="5">
        <v>41489</v>
      </c>
      <c r="D1977" s="5">
        <v>41549</v>
      </c>
      <c r="E1977" s="4" t="s">
        <v>5185</v>
      </c>
      <c r="F1977" s="4" t="s">
        <v>5185</v>
      </c>
    </row>
    <row r="1978" spans="1:6" x14ac:dyDescent="0.25">
      <c r="A1978" s="4" t="str">
        <f>CONCATENATE("3071-0000-4092","")</f>
        <v>3071-0000-4092</v>
      </c>
      <c r="B1978" s="4" t="s">
        <v>3862</v>
      </c>
      <c r="C1978" s="5">
        <v>41489</v>
      </c>
      <c r="D1978" s="5">
        <v>41549</v>
      </c>
      <c r="E1978" s="4" t="s">
        <v>7</v>
      </c>
      <c r="F1978" s="4" t="s">
        <v>3818</v>
      </c>
    </row>
    <row r="1979" spans="1:6" x14ac:dyDescent="0.25">
      <c r="A1979" s="4" t="str">
        <f>CONCATENATE("3071-0000-6713","")</f>
        <v>3071-0000-6713</v>
      </c>
      <c r="B1979" s="4" t="s">
        <v>8175</v>
      </c>
      <c r="C1979" s="5">
        <v>41489</v>
      </c>
      <c r="D1979" s="5">
        <v>41549</v>
      </c>
      <c r="E1979" s="4" t="s">
        <v>5185</v>
      </c>
      <c r="F1979" s="4" t="s">
        <v>5185</v>
      </c>
    </row>
    <row r="1980" spans="1:6" x14ac:dyDescent="0.25">
      <c r="A1980" s="4" t="str">
        <f>CONCATENATE("3071-0000-6634","")</f>
        <v>3071-0000-6634</v>
      </c>
      <c r="B1980" s="4" t="s">
        <v>8230</v>
      </c>
      <c r="C1980" s="5">
        <v>41489</v>
      </c>
      <c r="D1980" s="5">
        <v>41549</v>
      </c>
      <c r="E1980" s="4" t="s">
        <v>5185</v>
      </c>
      <c r="F1980" s="4" t="s">
        <v>5185</v>
      </c>
    </row>
    <row r="1981" spans="1:6" x14ac:dyDescent="0.25">
      <c r="A1981" s="4" t="str">
        <f>CONCATENATE("3071-0000-8630","")</f>
        <v>3071-0000-8630</v>
      </c>
      <c r="B1981" s="4" t="s">
        <v>6020</v>
      </c>
      <c r="C1981" s="5">
        <v>41489</v>
      </c>
      <c r="D1981" s="5">
        <v>41549</v>
      </c>
      <c r="E1981" s="4" t="s">
        <v>5185</v>
      </c>
      <c r="F1981" s="4" t="s">
        <v>5945</v>
      </c>
    </row>
    <row r="1982" spans="1:6" x14ac:dyDescent="0.25">
      <c r="A1982" s="4" t="str">
        <f>CONCATENATE("3071-0000-8101","")</f>
        <v>3071-0000-8101</v>
      </c>
      <c r="B1982" s="4" t="s">
        <v>6017</v>
      </c>
      <c r="C1982" s="5">
        <v>41489</v>
      </c>
      <c r="D1982" s="5">
        <v>41549</v>
      </c>
      <c r="E1982" s="4" t="s">
        <v>5185</v>
      </c>
      <c r="F1982" s="4" t="s">
        <v>5185</v>
      </c>
    </row>
    <row r="1983" spans="1:6" x14ac:dyDescent="0.25">
      <c r="A1983" s="4" t="str">
        <f>CONCATENATE("3071-0000-0736","")</f>
        <v>3071-0000-0736</v>
      </c>
      <c r="B1983" s="4" t="s">
        <v>709</v>
      </c>
      <c r="C1983" s="5">
        <v>41489</v>
      </c>
      <c r="D1983" s="5">
        <v>41549</v>
      </c>
      <c r="E1983" s="4" t="s">
        <v>7</v>
      </c>
      <c r="F1983" s="4" t="s">
        <v>7</v>
      </c>
    </row>
    <row r="1984" spans="1:6" x14ac:dyDescent="0.25">
      <c r="A1984" s="4" t="str">
        <f>CONCATENATE("3071-0000-3764","")</f>
        <v>3071-0000-3764</v>
      </c>
      <c r="B1984" s="4" t="s">
        <v>1617</v>
      </c>
      <c r="C1984" s="5">
        <v>41489</v>
      </c>
      <c r="D1984" s="5">
        <v>41549</v>
      </c>
      <c r="E1984" s="4" t="s">
        <v>1410</v>
      </c>
      <c r="F1984" s="4" t="s">
        <v>1613</v>
      </c>
    </row>
    <row r="1985" spans="1:6" x14ac:dyDescent="0.25">
      <c r="A1985" s="4" t="str">
        <f>CONCATENATE("3071-0000-8874","")</f>
        <v>3071-0000-8874</v>
      </c>
      <c r="B1985" s="4" t="s">
        <v>6533</v>
      </c>
      <c r="C1985" s="5">
        <v>41489</v>
      </c>
      <c r="D1985" s="5">
        <v>41549</v>
      </c>
      <c r="E1985" s="4" t="s">
        <v>5185</v>
      </c>
      <c r="F1985" s="4" t="s">
        <v>5292</v>
      </c>
    </row>
    <row r="1986" spans="1:6" x14ac:dyDescent="0.25">
      <c r="A1986" s="4" t="str">
        <f>CONCATENATE("3071-0000-8412","")</f>
        <v>3071-0000-8412</v>
      </c>
      <c r="B1986" s="4" t="s">
        <v>5770</v>
      </c>
      <c r="C1986" s="5">
        <v>41489</v>
      </c>
      <c r="D1986" s="5">
        <v>41549</v>
      </c>
      <c r="E1986" s="4" t="s">
        <v>5185</v>
      </c>
      <c r="F1986" s="4" t="s">
        <v>5763</v>
      </c>
    </row>
    <row r="1987" spans="1:6" x14ac:dyDescent="0.25">
      <c r="A1987" s="4" t="str">
        <f>CONCATENATE("3071-0000-8619","")</f>
        <v>3071-0000-8619</v>
      </c>
      <c r="B1987" s="4" t="s">
        <v>5812</v>
      </c>
      <c r="C1987" s="5">
        <v>41489</v>
      </c>
      <c r="D1987" s="5">
        <v>41549</v>
      </c>
      <c r="E1987" s="4" t="s">
        <v>5185</v>
      </c>
      <c r="F1987" s="4" t="s">
        <v>5763</v>
      </c>
    </row>
    <row r="1988" spans="1:6" x14ac:dyDescent="0.25">
      <c r="A1988" s="4" t="str">
        <f>CONCATENATE("3071-0000-8522","")</f>
        <v>3071-0000-8522</v>
      </c>
      <c r="B1988" s="4" t="s">
        <v>5789</v>
      </c>
      <c r="C1988" s="5">
        <v>41489</v>
      </c>
      <c r="D1988" s="5">
        <v>41549</v>
      </c>
      <c r="E1988" s="4" t="s">
        <v>5185</v>
      </c>
      <c r="F1988" s="4" t="s">
        <v>5763</v>
      </c>
    </row>
    <row r="1989" spans="1:6" x14ac:dyDescent="0.25">
      <c r="A1989" s="4" t="str">
        <f>CONCATENATE("3071-0000-6376","")</f>
        <v>3071-0000-6376</v>
      </c>
      <c r="B1989" s="4" t="s">
        <v>7907</v>
      </c>
      <c r="C1989" s="5">
        <v>41489</v>
      </c>
      <c r="D1989" s="5">
        <v>41549</v>
      </c>
      <c r="E1989" s="4" t="s">
        <v>5185</v>
      </c>
      <c r="F1989" s="4" t="s">
        <v>5185</v>
      </c>
    </row>
    <row r="1990" spans="1:6" x14ac:dyDescent="0.25">
      <c r="A1990" s="4" t="str">
        <f>CONCATENATE("3071-0000-8621","")</f>
        <v>3071-0000-8621</v>
      </c>
      <c r="B1990" s="4" t="s">
        <v>5813</v>
      </c>
      <c r="C1990" s="5">
        <v>41489</v>
      </c>
      <c r="D1990" s="5">
        <v>41549</v>
      </c>
      <c r="E1990" s="4" t="s">
        <v>5185</v>
      </c>
      <c r="F1990" s="4" t="s">
        <v>5763</v>
      </c>
    </row>
    <row r="1991" spans="1:6" x14ac:dyDescent="0.25">
      <c r="A1991" s="4" t="str">
        <f>CONCATENATE("3071-0000-3664","")</f>
        <v>3071-0000-3664</v>
      </c>
      <c r="B1991" s="4" t="s">
        <v>1678</v>
      </c>
      <c r="C1991" s="5">
        <v>41489</v>
      </c>
      <c r="D1991" s="5">
        <v>41549</v>
      </c>
      <c r="E1991" s="4" t="s">
        <v>1410</v>
      </c>
      <c r="F1991" s="4" t="s">
        <v>1601</v>
      </c>
    </row>
    <row r="1992" spans="1:6" x14ac:dyDescent="0.25">
      <c r="A1992" s="4" t="str">
        <f>CONCATENATE("3071-0000-6366","")</f>
        <v>3071-0000-6366</v>
      </c>
      <c r="B1992" s="4" t="s">
        <v>7893</v>
      </c>
      <c r="C1992" s="5">
        <v>41489</v>
      </c>
      <c r="D1992" s="5">
        <v>41549</v>
      </c>
      <c r="E1992" s="4" t="s">
        <v>5185</v>
      </c>
      <c r="F1992" s="4" t="s">
        <v>5185</v>
      </c>
    </row>
    <row r="1993" spans="1:6" x14ac:dyDescent="0.25">
      <c r="A1993" s="4" t="str">
        <f>CONCATENATE("3071-0000-6695","")</f>
        <v>3071-0000-6695</v>
      </c>
      <c r="B1993" s="4" t="s">
        <v>8045</v>
      </c>
      <c r="C1993" s="5">
        <v>41489</v>
      </c>
      <c r="D1993" s="5">
        <v>41549</v>
      </c>
      <c r="E1993" s="4" t="s">
        <v>5185</v>
      </c>
      <c r="F1993" s="4" t="s">
        <v>5185</v>
      </c>
    </row>
    <row r="1994" spans="1:6" x14ac:dyDescent="0.25">
      <c r="A1994" s="4" t="str">
        <f>CONCATENATE("3071-0000-7779","")</f>
        <v>3071-0000-7779</v>
      </c>
      <c r="B1994" s="4" t="s">
        <v>4785</v>
      </c>
      <c r="C1994" s="5">
        <v>41489</v>
      </c>
      <c r="D1994" s="5">
        <v>41549</v>
      </c>
      <c r="E1994" s="4" t="s">
        <v>1410</v>
      </c>
      <c r="F1994" s="4" t="s">
        <v>4655</v>
      </c>
    </row>
    <row r="1995" spans="1:6" x14ac:dyDescent="0.25">
      <c r="A1995" s="4" t="str">
        <f>CONCATENATE("3071-0000-8094","")</f>
        <v>3071-0000-8094</v>
      </c>
      <c r="B1995" s="4" t="s">
        <v>5877</v>
      </c>
      <c r="C1995" s="5">
        <v>41489</v>
      </c>
      <c r="D1995" s="5">
        <v>41549</v>
      </c>
      <c r="E1995" s="4" t="s">
        <v>5185</v>
      </c>
      <c r="F1995" s="4" t="s">
        <v>5185</v>
      </c>
    </row>
    <row r="1996" spans="1:6" x14ac:dyDescent="0.25">
      <c r="A1996" s="4" t="str">
        <f>CONCATENATE("3071-0000-6685","")</f>
        <v>3071-0000-6685</v>
      </c>
      <c r="B1996" s="4" t="s">
        <v>8044</v>
      </c>
      <c r="C1996" s="5">
        <v>41489</v>
      </c>
      <c r="D1996" s="5">
        <v>41549</v>
      </c>
      <c r="E1996" s="4" t="s">
        <v>5185</v>
      </c>
      <c r="F1996" s="4" t="s">
        <v>5185</v>
      </c>
    </row>
    <row r="1997" spans="1:6" x14ac:dyDescent="0.25">
      <c r="A1997" s="4" t="str">
        <f>CONCATENATE("3071-0000-7119","")</f>
        <v>3071-0000-7119</v>
      </c>
      <c r="B1997" s="4" t="s">
        <v>4797</v>
      </c>
      <c r="C1997" s="5">
        <v>41489</v>
      </c>
      <c r="D1997" s="5">
        <v>41549</v>
      </c>
      <c r="E1997" s="4" t="s">
        <v>1410</v>
      </c>
      <c r="F1997" s="4" t="s">
        <v>1410</v>
      </c>
    </row>
    <row r="1998" spans="1:6" x14ac:dyDescent="0.25">
      <c r="A1998" s="4" t="str">
        <f>CONCATENATE("3071-0000-7576","")</f>
        <v>3071-0000-7576</v>
      </c>
      <c r="B1998" s="4" t="s">
        <v>4380</v>
      </c>
      <c r="C1998" s="5">
        <v>41489</v>
      </c>
      <c r="D1998" s="5">
        <v>41549</v>
      </c>
      <c r="E1998" s="4" t="s">
        <v>1410</v>
      </c>
      <c r="F1998" s="4" t="s">
        <v>1410</v>
      </c>
    </row>
    <row r="1999" spans="1:6" x14ac:dyDescent="0.25">
      <c r="A1999" s="4" t="str">
        <f>CONCATENATE("3071-0000-6667","")</f>
        <v>3071-0000-6667</v>
      </c>
      <c r="B1999" s="4" t="s">
        <v>7748</v>
      </c>
      <c r="C1999" s="5">
        <v>41489</v>
      </c>
      <c r="D1999" s="5">
        <v>41549</v>
      </c>
      <c r="E1999" s="4" t="s">
        <v>5185</v>
      </c>
      <c r="F1999" s="4" t="s">
        <v>5185</v>
      </c>
    </row>
    <row r="2000" spans="1:6" x14ac:dyDescent="0.25">
      <c r="A2000" s="4" t="str">
        <f>CONCATENATE("3071-0000-6542","")</f>
        <v>3071-0000-6542</v>
      </c>
      <c r="B2000" s="4" t="s">
        <v>7758</v>
      </c>
      <c r="C2000" s="5">
        <v>41489</v>
      </c>
      <c r="D2000" s="5">
        <v>41549</v>
      </c>
      <c r="E2000" s="4" t="s">
        <v>5185</v>
      </c>
      <c r="F2000" s="4" t="s">
        <v>5185</v>
      </c>
    </row>
    <row r="2001" spans="1:6" x14ac:dyDescent="0.25">
      <c r="A2001" s="4" t="str">
        <f>CONCATENATE("3071-0000-6431","")</f>
        <v>3071-0000-6431</v>
      </c>
      <c r="B2001" s="4" t="s">
        <v>8137</v>
      </c>
      <c r="C2001" s="5">
        <v>41489</v>
      </c>
      <c r="D2001" s="5">
        <v>41549</v>
      </c>
      <c r="E2001" s="4" t="s">
        <v>5185</v>
      </c>
      <c r="F2001" s="4" t="s">
        <v>5185</v>
      </c>
    </row>
    <row r="2002" spans="1:6" x14ac:dyDescent="0.25">
      <c r="A2002" s="4" t="str">
        <f>CONCATENATE("3071-0000-6686","")</f>
        <v>3071-0000-6686</v>
      </c>
      <c r="B2002" s="4" t="s">
        <v>8047</v>
      </c>
      <c r="C2002" s="5">
        <v>41489</v>
      </c>
      <c r="D2002" s="5">
        <v>41549</v>
      </c>
      <c r="E2002" s="4" t="s">
        <v>5185</v>
      </c>
      <c r="F2002" s="4" t="s">
        <v>5185</v>
      </c>
    </row>
    <row r="2003" spans="1:6" x14ac:dyDescent="0.25">
      <c r="A2003" s="4" t="str">
        <f>CONCATENATE("3071-0000-7652","")</f>
        <v>3071-0000-7652</v>
      </c>
      <c r="B2003" s="4" t="s">
        <v>4884</v>
      </c>
      <c r="C2003" s="5">
        <v>41489</v>
      </c>
      <c r="D2003" s="5">
        <v>41549</v>
      </c>
      <c r="E2003" s="4" t="s">
        <v>1410</v>
      </c>
      <c r="F2003" s="4" t="s">
        <v>4655</v>
      </c>
    </row>
    <row r="2004" spans="1:6" x14ac:dyDescent="0.25">
      <c r="A2004" s="4" t="str">
        <f>CONCATENATE("3071-0000-9514","")</f>
        <v>3071-0000-9514</v>
      </c>
      <c r="B2004" s="4" t="s">
        <v>8271</v>
      </c>
      <c r="C2004" s="5">
        <v>41489</v>
      </c>
      <c r="D2004" s="5">
        <v>41549</v>
      </c>
      <c r="E2004" s="4" t="s">
        <v>1410</v>
      </c>
      <c r="F2004" s="4" t="s">
        <v>7967</v>
      </c>
    </row>
    <row r="2005" spans="1:6" x14ac:dyDescent="0.25">
      <c r="A2005" s="4" t="str">
        <f>CONCATENATE("3071-0000-6372","")</f>
        <v>3071-0000-6372</v>
      </c>
      <c r="B2005" s="4" t="s">
        <v>7903</v>
      </c>
      <c r="C2005" s="5">
        <v>41489</v>
      </c>
      <c r="D2005" s="5">
        <v>41549</v>
      </c>
      <c r="E2005" s="4" t="s">
        <v>5185</v>
      </c>
      <c r="F2005" s="4" t="s">
        <v>5185</v>
      </c>
    </row>
    <row r="2006" spans="1:6" x14ac:dyDescent="0.25">
      <c r="A2006" s="4" t="str">
        <f>CONCATENATE("3071-0000-9443","")</f>
        <v>3071-0000-9443</v>
      </c>
      <c r="B2006" s="4" t="s">
        <v>8418</v>
      </c>
      <c r="C2006" s="5">
        <v>41489</v>
      </c>
      <c r="D2006" s="5">
        <v>41549</v>
      </c>
      <c r="E2006" s="4" t="s">
        <v>1410</v>
      </c>
      <c r="F2006" s="4" t="s">
        <v>7967</v>
      </c>
    </row>
    <row r="2007" spans="1:6" x14ac:dyDescent="0.25">
      <c r="A2007" s="4" t="str">
        <f>CONCATENATE("3071-0000-3194","")</f>
        <v>3071-0000-3194</v>
      </c>
      <c r="B2007" s="4" t="s">
        <v>1097</v>
      </c>
      <c r="C2007" s="5">
        <v>41489</v>
      </c>
      <c r="D2007" s="5">
        <v>41549</v>
      </c>
      <c r="E2007" s="4" t="s">
        <v>7</v>
      </c>
      <c r="F2007" s="4" t="s">
        <v>808</v>
      </c>
    </row>
    <row r="2008" spans="1:6" x14ac:dyDescent="0.25">
      <c r="A2008" s="4" t="str">
        <f>CONCATENATE("3071-0000-6688","")</f>
        <v>3071-0000-6688</v>
      </c>
      <c r="B2008" s="4" t="s">
        <v>8126</v>
      </c>
      <c r="C2008" s="5">
        <v>41489</v>
      </c>
      <c r="D2008" s="5">
        <v>41549</v>
      </c>
      <c r="E2008" s="4" t="s">
        <v>5185</v>
      </c>
      <c r="F2008" s="4" t="s">
        <v>5185</v>
      </c>
    </row>
    <row r="2009" spans="1:6" x14ac:dyDescent="0.25">
      <c r="A2009" s="4" t="str">
        <f>CONCATENATE("3071-0000-9511","")</f>
        <v>3071-0000-9511</v>
      </c>
      <c r="B2009" s="4" t="s">
        <v>8397</v>
      </c>
      <c r="C2009" s="5">
        <v>41489</v>
      </c>
      <c r="D2009" s="5">
        <v>41549</v>
      </c>
      <c r="E2009" s="4" t="s">
        <v>1410</v>
      </c>
      <c r="F2009" s="4" t="s">
        <v>4459</v>
      </c>
    </row>
    <row r="2010" spans="1:6" x14ac:dyDescent="0.25">
      <c r="A2010" s="4" t="str">
        <f>CONCATENATE("3071-0000-2767","")</f>
        <v>3071-0000-2767</v>
      </c>
      <c r="B2010" s="4" t="s">
        <v>869</v>
      </c>
      <c r="C2010" s="5">
        <v>41489</v>
      </c>
      <c r="D2010" s="5">
        <v>41549</v>
      </c>
      <c r="E2010" s="4" t="s">
        <v>7</v>
      </c>
      <c r="F2010" s="4" t="s">
        <v>808</v>
      </c>
    </row>
    <row r="2011" spans="1:6" x14ac:dyDescent="0.25">
      <c r="A2011" s="4" t="str">
        <f>CONCATENATE("3071-0000-1911","")</f>
        <v>3071-0000-1911</v>
      </c>
      <c r="B2011" s="4" t="s">
        <v>2969</v>
      </c>
      <c r="C2011" s="5">
        <v>41489</v>
      </c>
      <c r="D2011" s="5">
        <v>41549</v>
      </c>
      <c r="E2011" s="4" t="s">
        <v>2944</v>
      </c>
      <c r="F2011" s="4" t="s">
        <v>2945</v>
      </c>
    </row>
    <row r="2012" spans="1:6" x14ac:dyDescent="0.25">
      <c r="A2012" s="4" t="str">
        <f>CONCATENATE("3071-0000-3565","")</f>
        <v>3071-0000-3565</v>
      </c>
      <c r="B2012" s="4" t="s">
        <v>1791</v>
      </c>
      <c r="C2012" s="5">
        <v>41489</v>
      </c>
      <c r="D2012" s="5">
        <v>41549</v>
      </c>
      <c r="E2012" s="4" t="s">
        <v>1410</v>
      </c>
      <c r="F2012" s="4" t="s">
        <v>1411</v>
      </c>
    </row>
    <row r="2013" spans="1:6" x14ac:dyDescent="0.25">
      <c r="A2013" s="4" t="str">
        <f>CONCATENATE("3071-0000-0974","")</f>
        <v>3071-0000-0974</v>
      </c>
      <c r="B2013" s="4" t="s">
        <v>1858</v>
      </c>
      <c r="C2013" s="5">
        <v>41489</v>
      </c>
      <c r="D2013" s="5">
        <v>41549</v>
      </c>
      <c r="E2013" s="4" t="s">
        <v>1857</v>
      </c>
      <c r="F2013" s="4" t="s">
        <v>1857</v>
      </c>
    </row>
    <row r="2014" spans="1:6" x14ac:dyDescent="0.25">
      <c r="A2014" s="4" t="str">
        <f>CONCATENATE("3071-0000-1133","")</f>
        <v>3071-0000-1133</v>
      </c>
      <c r="B2014" s="4" t="s">
        <v>1993</v>
      </c>
      <c r="C2014" s="5">
        <v>41489</v>
      </c>
      <c r="D2014" s="5">
        <v>41549</v>
      </c>
      <c r="E2014" s="4" t="s">
        <v>1857</v>
      </c>
      <c r="F2014" s="4" t="s">
        <v>1857</v>
      </c>
    </row>
    <row r="2015" spans="1:6" x14ac:dyDescent="0.25">
      <c r="A2015" s="4" t="str">
        <f>CONCATENATE("3071-0000-2404","")</f>
        <v>3071-0000-2404</v>
      </c>
      <c r="B2015" s="4" t="s">
        <v>3408</v>
      </c>
      <c r="C2015" s="5">
        <v>41489</v>
      </c>
      <c r="D2015" s="5">
        <v>41549</v>
      </c>
      <c r="E2015" s="4" t="s">
        <v>1857</v>
      </c>
      <c r="F2015" s="4" t="s">
        <v>3306</v>
      </c>
    </row>
    <row r="2016" spans="1:6" x14ac:dyDescent="0.25">
      <c r="A2016" s="4" t="str">
        <f>CONCATENATE("3071-0000-4068","")</f>
        <v>3071-0000-4068</v>
      </c>
      <c r="B2016" s="4" t="s">
        <v>3966</v>
      </c>
      <c r="C2016" s="5">
        <v>41489</v>
      </c>
      <c r="D2016" s="5">
        <v>41549</v>
      </c>
      <c r="E2016" s="4" t="s">
        <v>7</v>
      </c>
      <c r="F2016" s="4" t="s">
        <v>1419</v>
      </c>
    </row>
    <row r="2017" spans="1:6" x14ac:dyDescent="0.25">
      <c r="A2017" s="4" t="str">
        <f>CONCATENATE("3071-0000-5062","")</f>
        <v>3071-0000-5062</v>
      </c>
      <c r="B2017" s="4" t="s">
        <v>8864</v>
      </c>
      <c r="C2017" s="5">
        <v>41489</v>
      </c>
      <c r="D2017" s="5">
        <v>41549</v>
      </c>
      <c r="E2017" s="4" t="s">
        <v>1410</v>
      </c>
      <c r="F2017" s="4" t="s">
        <v>8851</v>
      </c>
    </row>
    <row r="2018" spans="1:6" x14ac:dyDescent="0.25">
      <c r="A2018" s="4" t="str">
        <f>CONCATENATE("3071-0000-5868","")</f>
        <v>3071-0000-5868</v>
      </c>
      <c r="B2018" s="4" t="s">
        <v>7357</v>
      </c>
      <c r="C2018" s="5">
        <v>41489</v>
      </c>
      <c r="D2018" s="5">
        <v>41549</v>
      </c>
      <c r="E2018" s="4" t="s">
        <v>5185</v>
      </c>
      <c r="F2018" s="4" t="s">
        <v>5185</v>
      </c>
    </row>
    <row r="2019" spans="1:6" x14ac:dyDescent="0.25">
      <c r="A2019" s="4" t="str">
        <f>CONCATENATE("3071-0000-2130","")</f>
        <v>3071-0000-2130</v>
      </c>
      <c r="B2019" s="4" t="s">
        <v>3563</v>
      </c>
      <c r="C2019" s="5">
        <v>41489</v>
      </c>
      <c r="D2019" s="5">
        <v>41549</v>
      </c>
      <c r="E2019" s="4" t="s">
        <v>2944</v>
      </c>
      <c r="F2019" s="4" t="s">
        <v>2945</v>
      </c>
    </row>
    <row r="2020" spans="1:6" x14ac:dyDescent="0.25">
      <c r="A2020" s="4" t="str">
        <f>CONCATENATE("3071-0000-2349","")</f>
        <v>3071-0000-2349</v>
      </c>
      <c r="B2020" s="4" t="s">
        <v>3352</v>
      </c>
      <c r="C2020" s="5">
        <v>41489</v>
      </c>
      <c r="D2020" s="5">
        <v>41549</v>
      </c>
      <c r="E2020" s="4" t="s">
        <v>2944</v>
      </c>
      <c r="F2020" s="4" t="s">
        <v>2945</v>
      </c>
    </row>
    <row r="2021" spans="1:6" x14ac:dyDescent="0.25">
      <c r="A2021" s="4" t="str">
        <f>CONCATENATE("3071-0000-2405","")</f>
        <v>3071-0000-2405</v>
      </c>
      <c r="B2021" s="4" t="s">
        <v>3219</v>
      </c>
      <c r="C2021" s="5">
        <v>41489</v>
      </c>
      <c r="D2021" s="5">
        <v>41549</v>
      </c>
      <c r="E2021" s="4" t="s">
        <v>2944</v>
      </c>
      <c r="F2021" s="4" t="s">
        <v>3164</v>
      </c>
    </row>
    <row r="2022" spans="1:6" x14ac:dyDescent="0.25">
      <c r="A2022" s="4" t="str">
        <f>CONCATENATE("3071-0000-2342","")</f>
        <v>3071-0000-2342</v>
      </c>
      <c r="B2022" s="4" t="s">
        <v>3228</v>
      </c>
      <c r="C2022" s="5">
        <v>41489</v>
      </c>
      <c r="D2022" s="5">
        <v>41549</v>
      </c>
      <c r="E2022" s="4" t="s">
        <v>2944</v>
      </c>
      <c r="F2022" s="4" t="s">
        <v>2945</v>
      </c>
    </row>
    <row r="2023" spans="1:6" x14ac:dyDescent="0.25">
      <c r="A2023" s="4" t="str">
        <f>CONCATENATE("3071-0000-0683","")</f>
        <v>3071-0000-0683</v>
      </c>
      <c r="B2023" s="4" t="s">
        <v>735</v>
      </c>
      <c r="C2023" s="5">
        <v>41489</v>
      </c>
      <c r="D2023" s="5">
        <v>41549</v>
      </c>
      <c r="E2023" s="4" t="s">
        <v>7</v>
      </c>
      <c r="F2023" s="4" t="s">
        <v>7</v>
      </c>
    </row>
    <row r="2024" spans="1:6" x14ac:dyDescent="0.25">
      <c r="A2024" s="4" t="str">
        <f>CONCATENATE("3071-0000-2402","")</f>
        <v>3071-0000-2402</v>
      </c>
      <c r="B2024" s="4" t="s">
        <v>3229</v>
      </c>
      <c r="C2024" s="5">
        <v>41489</v>
      </c>
      <c r="D2024" s="5">
        <v>41549</v>
      </c>
      <c r="E2024" s="4" t="s">
        <v>2944</v>
      </c>
      <c r="F2024" s="4" t="s">
        <v>3164</v>
      </c>
    </row>
    <row r="2025" spans="1:6" x14ac:dyDescent="0.25">
      <c r="A2025" s="4" t="str">
        <f>CONCATENATE("3071-0000-2396","")</f>
        <v>3071-0000-2396</v>
      </c>
      <c r="B2025" s="4" t="s">
        <v>3221</v>
      </c>
      <c r="C2025" s="5">
        <v>41489</v>
      </c>
      <c r="D2025" s="5">
        <v>41549</v>
      </c>
      <c r="E2025" s="4" t="s">
        <v>2944</v>
      </c>
      <c r="F2025" s="4" t="s">
        <v>3164</v>
      </c>
    </row>
    <row r="2026" spans="1:6" x14ac:dyDescent="0.25">
      <c r="A2026" s="4" t="str">
        <f>CONCATENATE("3071-0000-2397","")</f>
        <v>3071-0000-2397</v>
      </c>
      <c r="B2026" s="4" t="s">
        <v>3222</v>
      </c>
      <c r="C2026" s="5">
        <v>41489</v>
      </c>
      <c r="D2026" s="5">
        <v>41549</v>
      </c>
      <c r="E2026" s="4" t="s">
        <v>2944</v>
      </c>
      <c r="F2026" s="4" t="s">
        <v>3164</v>
      </c>
    </row>
    <row r="2027" spans="1:6" x14ac:dyDescent="0.25">
      <c r="A2027" s="4" t="str">
        <f>CONCATENATE("3071-0000-2689","")</f>
        <v>3071-0000-2689</v>
      </c>
      <c r="B2027" s="4" t="s">
        <v>3273</v>
      </c>
      <c r="C2027" s="5">
        <v>41489</v>
      </c>
      <c r="D2027" s="5">
        <v>41549</v>
      </c>
      <c r="E2027" s="4" t="s">
        <v>2944</v>
      </c>
      <c r="F2027" s="4" t="s">
        <v>3164</v>
      </c>
    </row>
    <row r="2028" spans="1:6" x14ac:dyDescent="0.25">
      <c r="A2028" s="4" t="str">
        <f>CONCATENATE("3071-0000-2723","")</f>
        <v>3071-0000-2723</v>
      </c>
      <c r="B2028" s="4" t="s">
        <v>3224</v>
      </c>
      <c r="C2028" s="5">
        <v>41489</v>
      </c>
      <c r="D2028" s="5">
        <v>41549</v>
      </c>
      <c r="E2028" s="4" t="s">
        <v>2944</v>
      </c>
      <c r="F2028" s="4" t="s">
        <v>3164</v>
      </c>
    </row>
    <row r="2029" spans="1:6" x14ac:dyDescent="0.25">
      <c r="A2029" s="4" t="str">
        <f>CONCATENATE("3071-0000-2408","")</f>
        <v>3071-0000-2408</v>
      </c>
      <c r="B2029" s="4" t="s">
        <v>3218</v>
      </c>
      <c r="C2029" s="5">
        <v>41489</v>
      </c>
      <c r="D2029" s="5">
        <v>41549</v>
      </c>
      <c r="E2029" s="4" t="s">
        <v>2944</v>
      </c>
      <c r="F2029" s="4" t="s">
        <v>3164</v>
      </c>
    </row>
    <row r="2030" spans="1:6" x14ac:dyDescent="0.25">
      <c r="A2030" s="4" t="str">
        <f>CONCATENATE("3071-0000-6176","")</f>
        <v>3071-0000-6176</v>
      </c>
      <c r="B2030" s="4" t="s">
        <v>7692</v>
      </c>
      <c r="C2030" s="5">
        <v>41489</v>
      </c>
      <c r="D2030" s="5">
        <v>41549</v>
      </c>
      <c r="E2030" s="4" t="s">
        <v>1410</v>
      </c>
      <c r="F2030" s="4" t="s">
        <v>1410</v>
      </c>
    </row>
    <row r="2031" spans="1:6" x14ac:dyDescent="0.25">
      <c r="A2031" s="4" t="str">
        <f>CONCATENATE("3071-0000-2368","")</f>
        <v>3071-0000-2368</v>
      </c>
      <c r="B2031" s="4" t="s">
        <v>3355</v>
      </c>
      <c r="C2031" s="5">
        <v>41489</v>
      </c>
      <c r="D2031" s="5">
        <v>41549</v>
      </c>
      <c r="E2031" s="4" t="s">
        <v>2944</v>
      </c>
      <c r="F2031" s="4" t="s">
        <v>2945</v>
      </c>
    </row>
    <row r="2032" spans="1:6" x14ac:dyDescent="0.25">
      <c r="A2032" s="4" t="str">
        <f>CONCATENATE("3071-0000-1864","")</f>
        <v>3071-0000-1864</v>
      </c>
      <c r="B2032" s="4" t="s">
        <v>2759</v>
      </c>
      <c r="C2032" s="5">
        <v>41489</v>
      </c>
      <c r="D2032" s="5">
        <v>41549</v>
      </c>
      <c r="E2032" s="4" t="s">
        <v>1381</v>
      </c>
      <c r="F2032" s="4" t="s">
        <v>1382</v>
      </c>
    </row>
    <row r="2033" spans="1:6" x14ac:dyDescent="0.25">
      <c r="A2033" s="4" t="str">
        <f>CONCATENATE("3071-0000-0603","")</f>
        <v>3071-0000-0603</v>
      </c>
      <c r="B2033" s="4" t="s">
        <v>109</v>
      </c>
      <c r="C2033" s="5">
        <v>41489</v>
      </c>
      <c r="D2033" s="5">
        <v>41549</v>
      </c>
      <c r="E2033" s="4" t="s">
        <v>7</v>
      </c>
      <c r="F2033" s="4" t="s">
        <v>7</v>
      </c>
    </row>
    <row r="2034" spans="1:6" x14ac:dyDescent="0.25">
      <c r="A2034" s="4" t="str">
        <f>CONCATENATE("3071-0000-7275","")</f>
        <v>3071-0000-7275</v>
      </c>
      <c r="B2034" s="4" t="s">
        <v>5129</v>
      </c>
      <c r="C2034" s="5">
        <v>41489</v>
      </c>
      <c r="D2034" s="5">
        <v>41549</v>
      </c>
      <c r="E2034" s="4" t="s">
        <v>1410</v>
      </c>
      <c r="F2034" s="4" t="s">
        <v>1410</v>
      </c>
    </row>
    <row r="2035" spans="1:6" x14ac:dyDescent="0.25">
      <c r="A2035" s="4" t="str">
        <f>CONCATENATE("3071-0000-3652","")</f>
        <v>3071-0000-3652</v>
      </c>
      <c r="B2035" s="4" t="s">
        <v>1799</v>
      </c>
      <c r="C2035" s="5">
        <v>41489</v>
      </c>
      <c r="D2035" s="5">
        <v>41549</v>
      </c>
      <c r="E2035" s="4" t="s">
        <v>1410</v>
      </c>
      <c r="F2035" s="4" t="s">
        <v>1411</v>
      </c>
    </row>
    <row r="2036" spans="1:6" x14ac:dyDescent="0.25">
      <c r="A2036" s="4" t="str">
        <f>CONCATENATE("3071-0000-3680","")</f>
        <v>3071-0000-3680</v>
      </c>
      <c r="B2036" s="4" t="s">
        <v>1786</v>
      </c>
      <c r="C2036" s="5">
        <v>41489</v>
      </c>
      <c r="D2036" s="5">
        <v>41549</v>
      </c>
      <c r="E2036" s="4" t="s">
        <v>1410</v>
      </c>
      <c r="F2036" s="4" t="s">
        <v>1411</v>
      </c>
    </row>
    <row r="2037" spans="1:6" x14ac:dyDescent="0.25">
      <c r="A2037" s="4" t="str">
        <f>CONCATENATE("3071-0000-9622","")</f>
        <v>3071-0000-9622</v>
      </c>
      <c r="B2037" s="4" t="s">
        <v>8627</v>
      </c>
      <c r="C2037" s="5">
        <v>41489</v>
      </c>
      <c r="D2037" s="5">
        <v>41549</v>
      </c>
      <c r="E2037" s="4" t="s">
        <v>1410</v>
      </c>
      <c r="F2037" s="4" t="s">
        <v>4459</v>
      </c>
    </row>
    <row r="2038" spans="1:6" x14ac:dyDescent="0.25">
      <c r="A2038" s="4" t="str">
        <f>CONCATENATE("3071-0000-9540","")</f>
        <v>3071-0000-9540</v>
      </c>
      <c r="B2038" s="4" t="s">
        <v>8632</v>
      </c>
      <c r="C2038" s="5">
        <v>41489</v>
      </c>
      <c r="D2038" s="5">
        <v>41549</v>
      </c>
      <c r="E2038" s="4" t="s">
        <v>1410</v>
      </c>
      <c r="F2038" s="4" t="s">
        <v>4459</v>
      </c>
    </row>
    <row r="2039" spans="1:6" x14ac:dyDescent="0.25">
      <c r="A2039" s="4" t="str">
        <f>CONCATENATE("3071-0000-3510","")</f>
        <v>3071-0000-3510</v>
      </c>
      <c r="B2039" s="4" t="s">
        <v>1830</v>
      </c>
      <c r="C2039" s="5">
        <v>41489</v>
      </c>
      <c r="D2039" s="5">
        <v>41549</v>
      </c>
      <c r="E2039" s="4" t="s">
        <v>1410</v>
      </c>
      <c r="F2039" s="4" t="s">
        <v>1411</v>
      </c>
    </row>
    <row r="2040" spans="1:6" x14ac:dyDescent="0.25">
      <c r="A2040" s="4" t="str">
        <f>CONCATENATE("3071-0000-7497","")</f>
        <v>3071-0000-7497</v>
      </c>
      <c r="B2040" s="4" t="s">
        <v>4519</v>
      </c>
      <c r="C2040" s="5">
        <v>41489</v>
      </c>
      <c r="D2040" s="5">
        <v>41549</v>
      </c>
      <c r="E2040" s="4" t="s">
        <v>1410</v>
      </c>
      <c r="F2040" s="4" t="s">
        <v>1410</v>
      </c>
    </row>
    <row r="2041" spans="1:6" x14ac:dyDescent="0.25">
      <c r="A2041" s="4" t="str">
        <f>CONCATENATE("3071-0000-3686","")</f>
        <v>3071-0000-3686</v>
      </c>
      <c r="B2041" s="4" t="s">
        <v>1814</v>
      </c>
      <c r="C2041" s="5">
        <v>41489</v>
      </c>
      <c r="D2041" s="5">
        <v>41549</v>
      </c>
      <c r="E2041" s="4" t="s">
        <v>1410</v>
      </c>
      <c r="F2041" s="4" t="s">
        <v>1411</v>
      </c>
    </row>
    <row r="2042" spans="1:6" x14ac:dyDescent="0.25">
      <c r="A2042" s="4" t="str">
        <f>CONCATENATE("3071-0000-7377","")</f>
        <v>3071-0000-7377</v>
      </c>
      <c r="B2042" s="4" t="s">
        <v>5084</v>
      </c>
      <c r="C2042" s="5">
        <v>41489</v>
      </c>
      <c r="D2042" s="5">
        <v>41549</v>
      </c>
      <c r="E2042" s="4" t="s">
        <v>1410</v>
      </c>
      <c r="F2042" s="4" t="s">
        <v>1410</v>
      </c>
    </row>
    <row r="2043" spans="1:6" x14ac:dyDescent="0.25">
      <c r="A2043" s="4" t="str">
        <f>CONCATENATE("3071-0000-3596","")</f>
        <v>3071-0000-3596</v>
      </c>
      <c r="B2043" s="4" t="s">
        <v>1789</v>
      </c>
      <c r="C2043" s="5">
        <v>41489</v>
      </c>
      <c r="D2043" s="5">
        <v>41549</v>
      </c>
      <c r="E2043" s="4" t="s">
        <v>1410</v>
      </c>
      <c r="F2043" s="4" t="s">
        <v>1411</v>
      </c>
    </row>
    <row r="2044" spans="1:6" x14ac:dyDescent="0.25">
      <c r="A2044" s="4" t="str">
        <f>CONCATENATE("3071-0000-6285","")</f>
        <v>3071-0000-6285</v>
      </c>
      <c r="B2044" s="4" t="s">
        <v>7096</v>
      </c>
      <c r="C2044" s="5">
        <v>41489</v>
      </c>
      <c r="D2044" s="5">
        <v>41549</v>
      </c>
      <c r="E2044" s="4" t="s">
        <v>7069</v>
      </c>
      <c r="F2044" s="4" t="s">
        <v>7070</v>
      </c>
    </row>
    <row r="2045" spans="1:6" x14ac:dyDescent="0.25">
      <c r="A2045" s="4" t="str">
        <f>CONCATENATE("3071-0000-1572","")</f>
        <v>3071-0000-1572</v>
      </c>
      <c r="B2045" s="4" t="s">
        <v>2773</v>
      </c>
      <c r="C2045" s="5">
        <v>41489</v>
      </c>
      <c r="D2045" s="5">
        <v>41549</v>
      </c>
      <c r="E2045" s="4" t="s">
        <v>1381</v>
      </c>
      <c r="F2045" s="4" t="s">
        <v>1382</v>
      </c>
    </row>
    <row r="2046" spans="1:6" x14ac:dyDescent="0.25">
      <c r="A2046" s="4" t="str">
        <f>CONCATENATE("3071-0000-2213","")</f>
        <v>3071-0000-2213</v>
      </c>
      <c r="B2046" s="4" t="s">
        <v>3196</v>
      </c>
      <c r="C2046" s="5">
        <v>41489</v>
      </c>
      <c r="D2046" s="5">
        <v>41549</v>
      </c>
      <c r="E2046" s="4" t="s">
        <v>2944</v>
      </c>
      <c r="F2046" s="4" t="s">
        <v>2945</v>
      </c>
    </row>
    <row r="2047" spans="1:6" x14ac:dyDescent="0.25">
      <c r="A2047" s="4" t="str">
        <f>CONCATENATE("3071-0000-2611","")</f>
        <v>3071-0000-2611</v>
      </c>
      <c r="B2047" s="4" t="s">
        <v>3683</v>
      </c>
      <c r="C2047" s="5">
        <v>41489</v>
      </c>
      <c r="D2047" s="5">
        <v>41549</v>
      </c>
      <c r="E2047" s="4" t="s">
        <v>2944</v>
      </c>
      <c r="F2047" s="4" t="s">
        <v>3164</v>
      </c>
    </row>
    <row r="2048" spans="1:6" x14ac:dyDescent="0.25">
      <c r="A2048" s="4" t="str">
        <f>CONCATENATE("3071-0000-2560","")</f>
        <v>3071-0000-2560</v>
      </c>
      <c r="B2048" s="4" t="s">
        <v>3693</v>
      </c>
      <c r="C2048" s="5">
        <v>41489</v>
      </c>
      <c r="D2048" s="5">
        <v>41549</v>
      </c>
      <c r="E2048" s="4" t="s">
        <v>2944</v>
      </c>
      <c r="F2048" s="4" t="s">
        <v>3164</v>
      </c>
    </row>
    <row r="2049" spans="1:6" x14ac:dyDescent="0.25">
      <c r="A2049" s="4" t="str">
        <f>CONCATENATE("3071-0000-2499","")</f>
        <v>3071-0000-2499</v>
      </c>
      <c r="B2049" s="4" t="s">
        <v>3626</v>
      </c>
      <c r="C2049" s="5">
        <v>41489</v>
      </c>
      <c r="D2049" s="5">
        <v>41549</v>
      </c>
      <c r="E2049" s="4" t="s">
        <v>2944</v>
      </c>
      <c r="F2049" s="4" t="s">
        <v>3567</v>
      </c>
    </row>
    <row r="2050" spans="1:6" x14ac:dyDescent="0.25">
      <c r="A2050" s="4" t="str">
        <f>CONCATENATE("3071-0000-1876","")</f>
        <v>3071-0000-1876</v>
      </c>
      <c r="B2050" s="4" t="s">
        <v>3511</v>
      </c>
      <c r="C2050" s="5">
        <v>41489</v>
      </c>
      <c r="D2050" s="5">
        <v>41549</v>
      </c>
      <c r="E2050" s="4" t="s">
        <v>2944</v>
      </c>
      <c r="F2050" s="4" t="s">
        <v>3434</v>
      </c>
    </row>
    <row r="2051" spans="1:6" x14ac:dyDescent="0.25">
      <c r="A2051" s="4" t="str">
        <f>CONCATENATE("3071-0000-1921","")</f>
        <v>3071-0000-1921</v>
      </c>
      <c r="B2051" s="4" t="s">
        <v>3078</v>
      </c>
      <c r="C2051" s="5">
        <v>41489</v>
      </c>
      <c r="D2051" s="5">
        <v>41549</v>
      </c>
      <c r="E2051" s="4" t="s">
        <v>2944</v>
      </c>
      <c r="F2051" s="4" t="s">
        <v>2945</v>
      </c>
    </row>
    <row r="2052" spans="1:6" x14ac:dyDescent="0.25">
      <c r="A2052" s="4" t="str">
        <f>CONCATENATE("3071-0000-2305","")</f>
        <v>3071-0000-2305</v>
      </c>
      <c r="B2052" s="4" t="s">
        <v>3445</v>
      </c>
      <c r="C2052" s="5">
        <v>41489</v>
      </c>
      <c r="D2052" s="5">
        <v>41549</v>
      </c>
      <c r="E2052" s="4" t="s">
        <v>2944</v>
      </c>
      <c r="F2052" s="4" t="s">
        <v>2945</v>
      </c>
    </row>
    <row r="2053" spans="1:6" x14ac:dyDescent="0.25">
      <c r="A2053" s="4" t="str">
        <f>CONCATENATE("3071-0000-2685","")</f>
        <v>3071-0000-2685</v>
      </c>
      <c r="B2053" s="4" t="s">
        <v>3277</v>
      </c>
      <c r="C2053" s="5">
        <v>41489</v>
      </c>
      <c r="D2053" s="5">
        <v>41549</v>
      </c>
      <c r="E2053" s="4" t="s">
        <v>2944</v>
      </c>
      <c r="F2053" s="4" t="s">
        <v>3164</v>
      </c>
    </row>
    <row r="2054" spans="1:6" x14ac:dyDescent="0.25">
      <c r="A2054" s="4" t="str">
        <f>CONCATENATE("3071-0000-6997","")</f>
        <v>3071-0000-6997</v>
      </c>
      <c r="B2054" s="4" t="s">
        <v>4419</v>
      </c>
      <c r="C2054" s="5">
        <v>41489</v>
      </c>
      <c r="D2054" s="5">
        <v>41549</v>
      </c>
      <c r="E2054" s="4" t="s">
        <v>1410</v>
      </c>
      <c r="F2054" s="4" t="s">
        <v>1410</v>
      </c>
    </row>
    <row r="2055" spans="1:6" x14ac:dyDescent="0.25">
      <c r="A2055" s="4" t="str">
        <f>CONCATENATE("3071-0000-7868","")</f>
        <v>3071-0000-7868</v>
      </c>
      <c r="B2055" s="4" t="s">
        <v>6201</v>
      </c>
      <c r="C2055" s="5">
        <v>41489</v>
      </c>
      <c r="D2055" s="5">
        <v>41549</v>
      </c>
      <c r="E2055" s="4" t="s">
        <v>5185</v>
      </c>
      <c r="F2055" s="4" t="s">
        <v>5185</v>
      </c>
    </row>
    <row r="2056" spans="1:6" x14ac:dyDescent="0.25">
      <c r="A2056" s="4" t="str">
        <f>CONCATENATE("3071-0000-1681","")</f>
        <v>3071-0000-1681</v>
      </c>
      <c r="B2056" s="4" t="s">
        <v>2600</v>
      </c>
      <c r="C2056" s="5">
        <v>41489</v>
      </c>
      <c r="D2056" s="5">
        <v>41549</v>
      </c>
      <c r="E2056" s="4" t="s">
        <v>1381</v>
      </c>
      <c r="F2056" s="4" t="s">
        <v>2303</v>
      </c>
    </row>
    <row r="2057" spans="1:6" x14ac:dyDescent="0.25">
      <c r="A2057" s="4" t="str">
        <f>CONCATENATE("3071-0000-3860","")</f>
        <v>3071-0000-3860</v>
      </c>
      <c r="B2057" s="4" t="s">
        <v>4007</v>
      </c>
      <c r="C2057" s="5">
        <v>41489</v>
      </c>
      <c r="D2057" s="5">
        <v>41549</v>
      </c>
      <c r="E2057" s="4" t="s">
        <v>1381</v>
      </c>
      <c r="F2057" s="4" t="s">
        <v>3994</v>
      </c>
    </row>
    <row r="2058" spans="1:6" x14ac:dyDescent="0.25">
      <c r="A2058" s="4" t="str">
        <f>CONCATENATE("3071-0000-7869","")</f>
        <v>3071-0000-7869</v>
      </c>
      <c r="B2058" s="4" t="s">
        <v>6186</v>
      </c>
      <c r="C2058" s="5">
        <v>41489</v>
      </c>
      <c r="D2058" s="5">
        <v>41549</v>
      </c>
      <c r="E2058" s="4" t="s">
        <v>5185</v>
      </c>
      <c r="F2058" s="4" t="s">
        <v>5185</v>
      </c>
    </row>
    <row r="2059" spans="1:6" x14ac:dyDescent="0.25">
      <c r="A2059" s="4" t="str">
        <f>CONCATENATE("3071-0000-7843","")</f>
        <v>3071-0000-7843</v>
      </c>
      <c r="B2059" s="4" t="s">
        <v>6189</v>
      </c>
      <c r="C2059" s="5">
        <v>41489</v>
      </c>
      <c r="D2059" s="5">
        <v>41549</v>
      </c>
      <c r="E2059" s="4" t="s">
        <v>5185</v>
      </c>
      <c r="F2059" s="4" t="s">
        <v>5185</v>
      </c>
    </row>
    <row r="2060" spans="1:6" x14ac:dyDescent="0.25">
      <c r="A2060" s="4" t="str">
        <f>CONCATENATE("3071-0000-8723","")</f>
        <v>3071-0000-8723</v>
      </c>
      <c r="B2060" s="4" t="s">
        <v>6351</v>
      </c>
      <c r="C2060" s="5">
        <v>41489</v>
      </c>
      <c r="D2060" s="5">
        <v>41549</v>
      </c>
      <c r="E2060" s="4" t="s">
        <v>5185</v>
      </c>
      <c r="F2060" s="4" t="s">
        <v>5292</v>
      </c>
    </row>
    <row r="2061" spans="1:6" x14ac:dyDescent="0.25">
      <c r="A2061" s="4" t="str">
        <f>CONCATENATE("3071-0000-0136","")</f>
        <v>3071-0000-0136</v>
      </c>
      <c r="B2061" s="4" t="s">
        <v>309</v>
      </c>
      <c r="C2061" s="5">
        <v>41489</v>
      </c>
      <c r="D2061" s="5">
        <v>41549</v>
      </c>
      <c r="E2061" s="4" t="s">
        <v>7</v>
      </c>
      <c r="F2061" s="4" t="s">
        <v>7</v>
      </c>
    </row>
    <row r="2062" spans="1:6" x14ac:dyDescent="0.25">
      <c r="A2062" s="4" t="str">
        <f>CONCATENATE("3071-0000-0460","")</f>
        <v>3071-0000-0460</v>
      </c>
      <c r="B2062" s="4" t="s">
        <v>331</v>
      </c>
      <c r="C2062" s="5">
        <v>41489</v>
      </c>
      <c r="D2062" s="5">
        <v>41549</v>
      </c>
      <c r="E2062" s="4" t="s">
        <v>7</v>
      </c>
      <c r="F2062" s="4" t="s">
        <v>7</v>
      </c>
    </row>
    <row r="2063" spans="1:6" x14ac:dyDescent="0.25">
      <c r="A2063" s="4" t="str">
        <f>CONCATENATE("3071-0000-0618","")</f>
        <v>3071-0000-0618</v>
      </c>
      <c r="B2063" s="4" t="s">
        <v>770</v>
      </c>
      <c r="C2063" s="5">
        <v>41489</v>
      </c>
      <c r="D2063" s="5">
        <v>41549</v>
      </c>
      <c r="E2063" s="4" t="s">
        <v>7</v>
      </c>
      <c r="F2063" s="4" t="s">
        <v>7</v>
      </c>
    </row>
    <row r="2064" spans="1:6" x14ac:dyDescent="0.25">
      <c r="A2064" s="4" t="str">
        <f>CONCATENATE("3071-0000-0477","")</f>
        <v>3071-0000-0477</v>
      </c>
      <c r="B2064" s="4" t="s">
        <v>131</v>
      </c>
      <c r="C2064" s="5">
        <v>41489</v>
      </c>
      <c r="D2064" s="5">
        <v>41549</v>
      </c>
      <c r="E2064" s="4" t="s">
        <v>7</v>
      </c>
      <c r="F2064" s="4" t="s">
        <v>7</v>
      </c>
    </row>
    <row r="2065" spans="1:6" x14ac:dyDescent="0.25">
      <c r="A2065" s="4" t="str">
        <f>CONCATENATE("3071-0000-0729","")</f>
        <v>3071-0000-0729</v>
      </c>
      <c r="B2065" s="4" t="s">
        <v>521</v>
      </c>
      <c r="C2065" s="5">
        <v>41489</v>
      </c>
      <c r="D2065" s="5">
        <v>41549</v>
      </c>
      <c r="E2065" s="4" t="s">
        <v>7</v>
      </c>
      <c r="F2065" s="4" t="s">
        <v>7</v>
      </c>
    </row>
    <row r="2066" spans="1:6" x14ac:dyDescent="0.25">
      <c r="A2066" s="4" t="str">
        <f>CONCATENATE("3071-0000-1765","")</f>
        <v>3071-0000-1765</v>
      </c>
      <c r="B2066" s="4" t="s">
        <v>2877</v>
      </c>
      <c r="C2066" s="5">
        <v>41489</v>
      </c>
      <c r="D2066" s="5">
        <v>41549</v>
      </c>
      <c r="E2066" s="4" t="s">
        <v>1381</v>
      </c>
      <c r="F2066" s="4" t="s">
        <v>2840</v>
      </c>
    </row>
    <row r="2067" spans="1:6" x14ac:dyDescent="0.25">
      <c r="A2067" s="4" t="str">
        <f>CONCATENATE("3071-0000-2238","")</f>
        <v>3071-0000-2238</v>
      </c>
      <c r="B2067" s="4" t="s">
        <v>3730</v>
      </c>
      <c r="C2067" s="5">
        <v>41489</v>
      </c>
      <c r="D2067" s="5">
        <v>41549</v>
      </c>
      <c r="E2067" s="4" t="s">
        <v>2944</v>
      </c>
      <c r="F2067" s="4" t="s">
        <v>2945</v>
      </c>
    </row>
    <row r="2068" spans="1:6" x14ac:dyDescent="0.25">
      <c r="A2068" s="4" t="str">
        <f>CONCATENATE("3071-0000-3342","")</f>
        <v>3071-0000-3342</v>
      </c>
      <c r="B2068" s="4" t="s">
        <v>1464</v>
      </c>
      <c r="C2068" s="5">
        <v>41489</v>
      </c>
      <c r="D2068" s="5">
        <v>41549</v>
      </c>
      <c r="E2068" s="4" t="s">
        <v>1410</v>
      </c>
      <c r="F2068" s="4" t="s">
        <v>1411</v>
      </c>
    </row>
    <row r="2069" spans="1:6" x14ac:dyDescent="0.25">
      <c r="A2069" s="4" t="str">
        <f>CONCATENATE("3071-0000-3545","")</f>
        <v>3071-0000-3545</v>
      </c>
      <c r="B2069" s="4" t="s">
        <v>1758</v>
      </c>
      <c r="C2069" s="5">
        <v>41489</v>
      </c>
      <c r="D2069" s="5">
        <v>41549</v>
      </c>
      <c r="E2069" s="4" t="s">
        <v>1410</v>
      </c>
      <c r="F2069" s="4" t="s">
        <v>1411</v>
      </c>
    </row>
    <row r="2070" spans="1:6" x14ac:dyDescent="0.25">
      <c r="A2070" s="4" t="str">
        <f>CONCATENATE("3071-0000-7783","")</f>
        <v>3071-0000-7783</v>
      </c>
      <c r="B2070" s="4" t="s">
        <v>5349</v>
      </c>
      <c r="C2070" s="5">
        <v>41489</v>
      </c>
      <c r="D2070" s="5">
        <v>41549</v>
      </c>
      <c r="E2070" s="4" t="s">
        <v>1410</v>
      </c>
      <c r="F2070" s="4" t="s">
        <v>4616</v>
      </c>
    </row>
    <row r="2071" spans="1:6" x14ac:dyDescent="0.25">
      <c r="A2071" s="4" t="str">
        <f>CONCATENATE("3071-0000-0550","")</f>
        <v>3071-0000-0550</v>
      </c>
      <c r="B2071" s="4" t="s">
        <v>646</v>
      </c>
      <c r="C2071" s="5">
        <v>41489</v>
      </c>
      <c r="D2071" s="5">
        <v>41549</v>
      </c>
      <c r="E2071" s="4" t="s">
        <v>7</v>
      </c>
      <c r="F2071" s="4" t="s">
        <v>7</v>
      </c>
    </row>
    <row r="2072" spans="1:6" x14ac:dyDescent="0.25">
      <c r="A2072" s="4" t="str">
        <f>CONCATENATE("3071-0000-2803","")</f>
        <v>3071-0000-2803</v>
      </c>
      <c r="B2072" s="4" t="s">
        <v>1006</v>
      </c>
      <c r="C2072" s="5">
        <v>41489</v>
      </c>
      <c r="D2072" s="5">
        <v>41549</v>
      </c>
      <c r="E2072" s="4" t="s">
        <v>7</v>
      </c>
      <c r="F2072" s="4" t="s">
        <v>808</v>
      </c>
    </row>
    <row r="2073" spans="1:6" x14ac:dyDescent="0.25">
      <c r="A2073" s="4" t="str">
        <f>CONCATENATE("3071-0000-9030","")</f>
        <v>3071-0000-9030</v>
      </c>
      <c r="B2073" s="4" t="s">
        <v>6523</v>
      </c>
      <c r="C2073" s="5">
        <v>41489</v>
      </c>
      <c r="D2073" s="5">
        <v>41549</v>
      </c>
      <c r="E2073" s="4" t="s">
        <v>5185</v>
      </c>
      <c r="F2073" s="4" t="s">
        <v>5292</v>
      </c>
    </row>
    <row r="2074" spans="1:6" x14ac:dyDescent="0.25">
      <c r="A2074" s="4" t="str">
        <f>CONCATENATE("3071-0000-3459","")</f>
        <v>3071-0000-3459</v>
      </c>
      <c r="B2074" s="4" t="s">
        <v>1747</v>
      </c>
      <c r="C2074" s="5">
        <v>41489</v>
      </c>
      <c r="D2074" s="5">
        <v>41549</v>
      </c>
      <c r="E2074" s="4" t="s">
        <v>1410</v>
      </c>
      <c r="F2074" s="4" t="s">
        <v>1411</v>
      </c>
    </row>
    <row r="2075" spans="1:6" x14ac:dyDescent="0.25">
      <c r="A2075" s="4" t="str">
        <f>CONCATENATE("3071-0000-3333","")</f>
        <v>3071-0000-3333</v>
      </c>
      <c r="B2075" s="4" t="s">
        <v>1412</v>
      </c>
      <c r="C2075" s="5">
        <v>41489</v>
      </c>
      <c r="D2075" s="5">
        <v>41549</v>
      </c>
      <c r="E2075" s="4" t="s">
        <v>1410</v>
      </c>
      <c r="F2075" s="4" t="s">
        <v>1411</v>
      </c>
    </row>
    <row r="2076" spans="1:6" x14ac:dyDescent="0.25">
      <c r="A2076" s="4" t="str">
        <f>CONCATENATE("3071-0000-3340","")</f>
        <v>3071-0000-3340</v>
      </c>
      <c r="B2076" s="4" t="s">
        <v>1420</v>
      </c>
      <c r="C2076" s="5">
        <v>41489</v>
      </c>
      <c r="D2076" s="5">
        <v>41549</v>
      </c>
      <c r="E2076" s="4" t="s">
        <v>1410</v>
      </c>
      <c r="F2076" s="4" t="s">
        <v>1411</v>
      </c>
    </row>
    <row r="2077" spans="1:6" x14ac:dyDescent="0.25">
      <c r="A2077" s="4" t="str">
        <f>CONCATENATE("3071-0000-0242","")</f>
        <v>3071-0000-0242</v>
      </c>
      <c r="B2077" s="4" t="s">
        <v>534</v>
      </c>
      <c r="C2077" s="5">
        <v>41489</v>
      </c>
      <c r="D2077" s="5">
        <v>41549</v>
      </c>
      <c r="E2077" s="4" t="s">
        <v>7</v>
      </c>
      <c r="F2077" s="4" t="s">
        <v>7</v>
      </c>
    </row>
    <row r="2078" spans="1:6" x14ac:dyDescent="0.25">
      <c r="A2078" s="4" t="str">
        <f>CONCATENATE("3071-0000-5610","")</f>
        <v>3071-0000-5610</v>
      </c>
      <c r="B2078" s="4" t="s">
        <v>7171</v>
      </c>
      <c r="C2078" s="5">
        <v>41489</v>
      </c>
      <c r="D2078" s="5">
        <v>41549</v>
      </c>
      <c r="E2078" s="4" t="s">
        <v>5185</v>
      </c>
      <c r="F2078" s="4" t="s">
        <v>5185</v>
      </c>
    </row>
    <row r="2079" spans="1:6" x14ac:dyDescent="0.25">
      <c r="A2079" s="4" t="str">
        <f>CONCATENATE("3071-0000-3452","")</f>
        <v>3071-0000-3452</v>
      </c>
      <c r="B2079" s="4" t="s">
        <v>1739</v>
      </c>
      <c r="C2079" s="5">
        <v>41489</v>
      </c>
      <c r="D2079" s="5">
        <v>41549</v>
      </c>
      <c r="E2079" s="4" t="s">
        <v>1410</v>
      </c>
      <c r="F2079" s="4" t="s">
        <v>1411</v>
      </c>
    </row>
    <row r="2080" spans="1:6" x14ac:dyDescent="0.25">
      <c r="A2080" s="4" t="str">
        <f>CONCATENATE("3071-0000-5527","")</f>
        <v>3071-0000-5527</v>
      </c>
      <c r="B2080" s="4" t="s">
        <v>6979</v>
      </c>
      <c r="C2080" s="5">
        <v>41489</v>
      </c>
      <c r="D2080" s="5">
        <v>41549</v>
      </c>
      <c r="E2080" s="4" t="s">
        <v>1410</v>
      </c>
      <c r="F2080" s="4" t="s">
        <v>2142</v>
      </c>
    </row>
    <row r="2081" spans="1:6" x14ac:dyDescent="0.25">
      <c r="A2081" s="4" t="str">
        <f>CONCATENATE("3071-0000-7674","")</f>
        <v>3071-0000-7674</v>
      </c>
      <c r="B2081" s="4" t="s">
        <v>5162</v>
      </c>
      <c r="C2081" s="5">
        <v>41489</v>
      </c>
      <c r="D2081" s="5">
        <v>41549</v>
      </c>
      <c r="E2081" s="4" t="s">
        <v>1410</v>
      </c>
      <c r="F2081" s="4" t="s">
        <v>4616</v>
      </c>
    </row>
    <row r="2082" spans="1:6" x14ac:dyDescent="0.25">
      <c r="A2082" s="4" t="str">
        <f>CONCATENATE("3071-0000-1094","")</f>
        <v>3071-0000-1094</v>
      </c>
      <c r="B2082" s="4" t="s">
        <v>2031</v>
      </c>
      <c r="C2082" s="5">
        <v>41489</v>
      </c>
      <c r="D2082" s="5">
        <v>41549</v>
      </c>
      <c r="E2082" s="4" t="s">
        <v>1857</v>
      </c>
      <c r="F2082" s="4" t="s">
        <v>1857</v>
      </c>
    </row>
    <row r="2083" spans="1:6" x14ac:dyDescent="0.25">
      <c r="A2083" s="4" t="str">
        <f>CONCATENATE("3071-0000-0958","")</f>
        <v>3071-0000-0958</v>
      </c>
      <c r="B2083" s="4" t="s">
        <v>1946</v>
      </c>
      <c r="C2083" s="5">
        <v>41489</v>
      </c>
      <c r="D2083" s="5">
        <v>41549</v>
      </c>
      <c r="E2083" s="4" t="s">
        <v>1857</v>
      </c>
      <c r="F2083" s="4" t="s">
        <v>1857</v>
      </c>
    </row>
    <row r="2084" spans="1:6" x14ac:dyDescent="0.25">
      <c r="A2084" s="4" t="str">
        <f>CONCATENATE("3071-0000-0908","")</f>
        <v>3071-0000-0908</v>
      </c>
      <c r="B2084" s="4" t="s">
        <v>2050</v>
      </c>
      <c r="C2084" s="5">
        <v>41489</v>
      </c>
      <c r="D2084" s="5">
        <v>41549</v>
      </c>
      <c r="E2084" s="4" t="s">
        <v>1857</v>
      </c>
      <c r="F2084" s="4" t="s">
        <v>1857</v>
      </c>
    </row>
    <row r="2085" spans="1:6" x14ac:dyDescent="0.25">
      <c r="A2085" s="4" t="str">
        <f>CONCATENATE("3071-0000-0927","")</f>
        <v>3071-0000-0927</v>
      </c>
      <c r="B2085" s="4" t="s">
        <v>2091</v>
      </c>
      <c r="C2085" s="5">
        <v>41489</v>
      </c>
      <c r="D2085" s="5">
        <v>41549</v>
      </c>
      <c r="E2085" s="4" t="s">
        <v>1857</v>
      </c>
      <c r="F2085" s="4" t="s">
        <v>1857</v>
      </c>
    </row>
    <row r="2086" spans="1:6" x14ac:dyDescent="0.25">
      <c r="A2086" s="4" t="str">
        <f>CONCATENATE("3071-0000-1065","")</f>
        <v>3071-0000-1065</v>
      </c>
      <c r="B2086" s="4" t="s">
        <v>1949</v>
      </c>
      <c r="C2086" s="5">
        <v>41489</v>
      </c>
      <c r="D2086" s="5">
        <v>41549</v>
      </c>
      <c r="E2086" s="4" t="s">
        <v>1857</v>
      </c>
      <c r="F2086" s="4" t="s">
        <v>1857</v>
      </c>
    </row>
    <row r="2087" spans="1:6" x14ac:dyDescent="0.25">
      <c r="A2087" s="4" t="str">
        <f>CONCATENATE("3071-0000-0850","")</f>
        <v>3071-0000-0850</v>
      </c>
      <c r="B2087" s="4" t="s">
        <v>1932</v>
      </c>
      <c r="C2087" s="5">
        <v>41489</v>
      </c>
      <c r="D2087" s="5">
        <v>41549</v>
      </c>
      <c r="E2087" s="4" t="s">
        <v>1857</v>
      </c>
      <c r="F2087" s="4" t="s">
        <v>1857</v>
      </c>
    </row>
    <row r="2088" spans="1:6" x14ac:dyDescent="0.25">
      <c r="A2088" s="4" t="str">
        <f>CONCATENATE("3071-0000-0904","")</f>
        <v>3071-0000-0904</v>
      </c>
      <c r="B2088" s="4" t="s">
        <v>2009</v>
      </c>
      <c r="C2088" s="5">
        <v>41489</v>
      </c>
      <c r="D2088" s="5">
        <v>41549</v>
      </c>
      <c r="E2088" s="4" t="s">
        <v>1857</v>
      </c>
      <c r="F2088" s="4" t="s">
        <v>1857</v>
      </c>
    </row>
    <row r="2089" spans="1:6" x14ac:dyDescent="0.25">
      <c r="A2089" s="4" t="str">
        <f>CONCATENATE("3071-0000-1097","")</f>
        <v>3071-0000-1097</v>
      </c>
      <c r="B2089" s="4" t="s">
        <v>1859</v>
      </c>
      <c r="C2089" s="5">
        <v>41489</v>
      </c>
      <c r="D2089" s="5">
        <v>41549</v>
      </c>
      <c r="E2089" s="4" t="s">
        <v>1857</v>
      </c>
      <c r="F2089" s="4" t="s">
        <v>1857</v>
      </c>
    </row>
    <row r="2090" spans="1:6" x14ac:dyDescent="0.25">
      <c r="A2090" s="4" t="str">
        <f>CONCATENATE("3071-0000-3760","")</f>
        <v>3071-0000-3760</v>
      </c>
      <c r="B2090" s="4" t="s">
        <v>1616</v>
      </c>
      <c r="C2090" s="5">
        <v>41489</v>
      </c>
      <c r="D2090" s="5">
        <v>41549</v>
      </c>
      <c r="E2090" s="4" t="s">
        <v>1410</v>
      </c>
      <c r="F2090" s="4" t="s">
        <v>1613</v>
      </c>
    </row>
    <row r="2091" spans="1:6" x14ac:dyDescent="0.25">
      <c r="A2091" s="4" t="str">
        <f>CONCATENATE("3071-0000-7541","")</f>
        <v>3071-0000-7541</v>
      </c>
      <c r="B2091" s="4" t="s">
        <v>4443</v>
      </c>
      <c r="C2091" s="5">
        <v>41489</v>
      </c>
      <c r="D2091" s="5">
        <v>41549</v>
      </c>
      <c r="E2091" s="4" t="s">
        <v>1410</v>
      </c>
      <c r="F2091" s="4" t="s">
        <v>1410</v>
      </c>
    </row>
    <row r="2092" spans="1:6" x14ac:dyDescent="0.25">
      <c r="A2092" s="4" t="str">
        <f>CONCATENATE("3071-0000-3756","")</f>
        <v>3071-0000-3756</v>
      </c>
      <c r="B2092" s="4" t="s">
        <v>1624</v>
      </c>
      <c r="C2092" s="5">
        <v>41489</v>
      </c>
      <c r="D2092" s="5">
        <v>41549</v>
      </c>
      <c r="E2092" s="4" t="s">
        <v>1410</v>
      </c>
      <c r="F2092" s="4" t="s">
        <v>1613</v>
      </c>
    </row>
    <row r="2093" spans="1:6" x14ac:dyDescent="0.25">
      <c r="A2093" s="4" t="str">
        <f>CONCATENATE("3071-0000-7108","")</f>
        <v>3071-0000-7108</v>
      </c>
      <c r="B2093" s="4" t="s">
        <v>4722</v>
      </c>
      <c r="C2093" s="5">
        <v>41489</v>
      </c>
      <c r="D2093" s="5">
        <v>41549</v>
      </c>
      <c r="E2093" s="4" t="s">
        <v>1410</v>
      </c>
      <c r="F2093" s="4" t="s">
        <v>1410</v>
      </c>
    </row>
    <row r="2094" spans="1:6" x14ac:dyDescent="0.25">
      <c r="A2094" s="4" t="str">
        <f>CONCATENATE("3071-0000-3377","")</f>
        <v>3071-0000-3377</v>
      </c>
      <c r="B2094" s="4" t="s">
        <v>1519</v>
      </c>
      <c r="C2094" s="5">
        <v>41489</v>
      </c>
      <c r="D2094" s="5">
        <v>41549</v>
      </c>
      <c r="E2094" s="4" t="s">
        <v>1410</v>
      </c>
      <c r="F2094" s="4" t="s">
        <v>1411</v>
      </c>
    </row>
    <row r="2095" spans="1:6" x14ac:dyDescent="0.25">
      <c r="A2095" s="4" t="str">
        <f>CONCATENATE("3071-0000-3758","")</f>
        <v>3071-0000-3758</v>
      </c>
      <c r="B2095" s="4" t="s">
        <v>1625</v>
      </c>
      <c r="C2095" s="5">
        <v>41489</v>
      </c>
      <c r="D2095" s="5">
        <v>41549</v>
      </c>
      <c r="E2095" s="4" t="s">
        <v>1410</v>
      </c>
      <c r="F2095" s="4" t="s">
        <v>1613</v>
      </c>
    </row>
    <row r="2096" spans="1:6" x14ac:dyDescent="0.25">
      <c r="A2096" s="4" t="str">
        <f>CONCATENATE("3071-0000-3040","")</f>
        <v>3071-0000-3040</v>
      </c>
      <c r="B2096" s="4" t="s">
        <v>1120</v>
      </c>
      <c r="C2096" s="5">
        <v>41489</v>
      </c>
      <c r="D2096" s="5">
        <v>41549</v>
      </c>
      <c r="E2096" s="4" t="s">
        <v>7</v>
      </c>
      <c r="F2096" s="4" t="s">
        <v>808</v>
      </c>
    </row>
    <row r="2097" spans="1:6" x14ac:dyDescent="0.25">
      <c r="A2097" s="4" t="str">
        <f>CONCATENATE("3071-0000-2056","")</f>
        <v>3071-0000-2056</v>
      </c>
      <c r="B2097" s="4" t="s">
        <v>3402</v>
      </c>
      <c r="C2097" s="5">
        <v>41489</v>
      </c>
      <c r="D2097" s="5">
        <v>41549</v>
      </c>
      <c r="E2097" s="4" t="s">
        <v>2944</v>
      </c>
      <c r="F2097" s="4" t="s">
        <v>2945</v>
      </c>
    </row>
    <row r="2098" spans="1:6" x14ac:dyDescent="0.25">
      <c r="A2098" s="4" t="str">
        <f>CONCATENATE("3071-0000-3271","")</f>
        <v>3071-0000-3271</v>
      </c>
      <c r="B2098" s="4" t="s">
        <v>1147</v>
      </c>
      <c r="C2098" s="5">
        <v>41489</v>
      </c>
      <c r="D2098" s="5">
        <v>41549</v>
      </c>
      <c r="E2098" s="4" t="s">
        <v>7</v>
      </c>
      <c r="F2098" s="4" t="s">
        <v>808</v>
      </c>
    </row>
    <row r="2099" spans="1:6" x14ac:dyDescent="0.25">
      <c r="A2099" s="4" t="str">
        <f>CONCATENATE("3071-0000-0186","")</f>
        <v>3071-0000-0186</v>
      </c>
      <c r="B2099" s="4" t="s">
        <v>389</v>
      </c>
      <c r="C2099" s="5">
        <v>41489</v>
      </c>
      <c r="D2099" s="5">
        <v>41549</v>
      </c>
      <c r="E2099" s="4" t="s">
        <v>7</v>
      </c>
      <c r="F2099" s="4" t="s">
        <v>7</v>
      </c>
    </row>
    <row r="2100" spans="1:6" x14ac:dyDescent="0.25">
      <c r="A2100" s="4" t="str">
        <f>CONCATENATE("3071-0000-3421","")</f>
        <v>3071-0000-3421</v>
      </c>
      <c r="B2100" s="4" t="s">
        <v>1607</v>
      </c>
      <c r="C2100" s="5">
        <v>41489</v>
      </c>
      <c r="D2100" s="5">
        <v>41549</v>
      </c>
      <c r="E2100" s="4" t="s">
        <v>1410</v>
      </c>
      <c r="F2100" s="4" t="s">
        <v>1411</v>
      </c>
    </row>
    <row r="2101" spans="1:6" x14ac:dyDescent="0.25">
      <c r="A2101" s="4" t="str">
        <f>CONCATENATE("3071-0000-2863","")</f>
        <v>3071-0000-2863</v>
      </c>
      <c r="B2101" s="4" t="s">
        <v>1374</v>
      </c>
      <c r="C2101" s="5">
        <v>41489</v>
      </c>
      <c r="D2101" s="5">
        <v>41549</v>
      </c>
      <c r="E2101" s="4" t="s">
        <v>7</v>
      </c>
      <c r="F2101" s="4" t="s">
        <v>808</v>
      </c>
    </row>
    <row r="2102" spans="1:6" x14ac:dyDescent="0.25">
      <c r="A2102" s="4" t="str">
        <f>CONCATENATE("3071-0000-3092","")</f>
        <v>3071-0000-3092</v>
      </c>
      <c r="B2102" s="4" t="s">
        <v>811</v>
      </c>
      <c r="C2102" s="5">
        <v>41489</v>
      </c>
      <c r="D2102" s="5">
        <v>41549</v>
      </c>
      <c r="E2102" s="4" t="s">
        <v>7</v>
      </c>
      <c r="F2102" s="4" t="s">
        <v>812</v>
      </c>
    </row>
    <row r="2103" spans="1:6" x14ac:dyDescent="0.25">
      <c r="A2103" s="4" t="str">
        <f>CONCATENATE("3071-0000-0449","")</f>
        <v>3071-0000-0449</v>
      </c>
      <c r="B2103" s="4" t="s">
        <v>396</v>
      </c>
      <c r="C2103" s="5">
        <v>41489</v>
      </c>
      <c r="D2103" s="5">
        <v>41549</v>
      </c>
      <c r="E2103" s="4" t="s">
        <v>7</v>
      </c>
      <c r="F2103" s="4" t="s">
        <v>273</v>
      </c>
    </row>
    <row r="2104" spans="1:6" x14ac:dyDescent="0.25">
      <c r="A2104" s="4" t="str">
        <f>CONCATENATE("3071-0000-0448","")</f>
        <v>3071-0000-0448</v>
      </c>
      <c r="B2104" s="4" t="s">
        <v>397</v>
      </c>
      <c r="C2104" s="5">
        <v>41489</v>
      </c>
      <c r="D2104" s="5">
        <v>41549</v>
      </c>
      <c r="E2104" s="4" t="s">
        <v>7</v>
      </c>
      <c r="F2104" s="4" t="s">
        <v>7</v>
      </c>
    </row>
    <row r="2105" spans="1:6" x14ac:dyDescent="0.25">
      <c r="A2105" s="4" t="str">
        <f>CONCATENATE("3071-0000-6659","")</f>
        <v>3071-0000-6659</v>
      </c>
      <c r="B2105" s="4" t="s">
        <v>8022</v>
      </c>
      <c r="C2105" s="5">
        <v>41489</v>
      </c>
      <c r="D2105" s="5">
        <v>41549</v>
      </c>
      <c r="E2105" s="4" t="s">
        <v>5185</v>
      </c>
      <c r="F2105" s="4" t="s">
        <v>5185</v>
      </c>
    </row>
    <row r="2106" spans="1:6" x14ac:dyDescent="0.25">
      <c r="A2106" s="4" t="str">
        <f>CONCATENATE("3071-0000-4107","")</f>
        <v>3071-0000-4107</v>
      </c>
      <c r="B2106" s="4" t="s">
        <v>4155</v>
      </c>
      <c r="C2106" s="5">
        <v>41489</v>
      </c>
      <c r="D2106" s="5">
        <v>41549</v>
      </c>
      <c r="E2106" s="4" t="s">
        <v>7</v>
      </c>
      <c r="F2106" s="4" t="s">
        <v>1419</v>
      </c>
    </row>
    <row r="2107" spans="1:6" x14ac:dyDescent="0.25">
      <c r="A2107" s="4" t="str">
        <f>CONCATENATE("3071-0000-3838","")</f>
        <v>3071-0000-3838</v>
      </c>
      <c r="B2107" s="4" t="s">
        <v>4174</v>
      </c>
      <c r="C2107" s="5">
        <v>41489</v>
      </c>
      <c r="D2107" s="5">
        <v>41549</v>
      </c>
      <c r="E2107" s="4" t="s">
        <v>2944</v>
      </c>
      <c r="F2107" s="4" t="s">
        <v>3513</v>
      </c>
    </row>
    <row r="2108" spans="1:6" x14ac:dyDescent="0.25">
      <c r="A2108" s="4" t="str">
        <f>CONCATENATE("3071-0000-4176","")</f>
        <v>3071-0000-4176</v>
      </c>
      <c r="B2108" s="4" t="s">
        <v>3918</v>
      </c>
      <c r="C2108" s="5">
        <v>41489</v>
      </c>
      <c r="D2108" s="5">
        <v>41549</v>
      </c>
      <c r="E2108" s="4" t="s">
        <v>7</v>
      </c>
      <c r="F2108" s="4" t="s">
        <v>1419</v>
      </c>
    </row>
    <row r="2109" spans="1:6" x14ac:dyDescent="0.25">
      <c r="A2109" s="4" t="str">
        <f>CONCATENATE("3071-0000-4103","")</f>
        <v>3071-0000-4103</v>
      </c>
      <c r="B2109" s="4" t="s">
        <v>4151</v>
      </c>
      <c r="C2109" s="5">
        <v>41489</v>
      </c>
      <c r="D2109" s="5">
        <v>41549</v>
      </c>
      <c r="E2109" s="4" t="s">
        <v>7</v>
      </c>
      <c r="F2109" s="4" t="s">
        <v>1419</v>
      </c>
    </row>
    <row r="2110" spans="1:6" x14ac:dyDescent="0.25">
      <c r="A2110" s="4" t="str">
        <f>CONCATENATE("3071-0000-2860","")</f>
        <v>3071-0000-2860</v>
      </c>
      <c r="B2110" s="4" t="s">
        <v>1363</v>
      </c>
      <c r="C2110" s="5">
        <v>41489</v>
      </c>
      <c r="D2110" s="5">
        <v>41549</v>
      </c>
      <c r="E2110" s="4" t="s">
        <v>7</v>
      </c>
      <c r="F2110" s="4" t="s">
        <v>808</v>
      </c>
    </row>
    <row r="2111" spans="1:6" x14ac:dyDescent="0.25">
      <c r="A2111" s="4" t="str">
        <f>CONCATENATE("3071-0000-1032","")</f>
        <v>3071-0000-1032</v>
      </c>
      <c r="B2111" s="4" t="s">
        <v>2264</v>
      </c>
      <c r="C2111" s="5">
        <v>41489</v>
      </c>
      <c r="D2111" s="5">
        <v>41549</v>
      </c>
      <c r="E2111" s="4" t="s">
        <v>1857</v>
      </c>
      <c r="F2111" s="4" t="s">
        <v>1857</v>
      </c>
    </row>
    <row r="2112" spans="1:6" x14ac:dyDescent="0.25">
      <c r="A2112" s="4" t="str">
        <f>CONCATENATE("3071-0000-8301","")</f>
        <v>3071-0000-8301</v>
      </c>
      <c r="B2112" s="4" t="s">
        <v>6241</v>
      </c>
      <c r="C2112" s="5">
        <v>41489</v>
      </c>
      <c r="D2112" s="5">
        <v>41549</v>
      </c>
      <c r="E2112" s="4" t="s">
        <v>5185</v>
      </c>
      <c r="F2112" s="4" t="s">
        <v>5185</v>
      </c>
    </row>
    <row r="2113" spans="1:6" x14ac:dyDescent="0.25">
      <c r="A2113" s="4" t="str">
        <f>CONCATENATE("3071-0000-1221","")</f>
        <v>3071-0000-1221</v>
      </c>
      <c r="B2113" s="4" t="s">
        <v>2284</v>
      </c>
      <c r="C2113" s="5">
        <v>41489</v>
      </c>
      <c r="D2113" s="5">
        <v>41549</v>
      </c>
      <c r="E2113" s="4" t="s">
        <v>1381</v>
      </c>
      <c r="F2113" s="4" t="s">
        <v>2259</v>
      </c>
    </row>
    <row r="2114" spans="1:6" x14ac:dyDescent="0.25">
      <c r="A2114" s="4" t="str">
        <f>CONCATENATE("3071-0000-2876","")</f>
        <v>3071-0000-2876</v>
      </c>
      <c r="B2114" s="4" t="s">
        <v>1370</v>
      </c>
      <c r="C2114" s="5">
        <v>41489</v>
      </c>
      <c r="D2114" s="5">
        <v>41549</v>
      </c>
      <c r="E2114" s="4" t="s">
        <v>7</v>
      </c>
      <c r="F2114" s="4" t="s">
        <v>808</v>
      </c>
    </row>
    <row r="2115" spans="1:6" x14ac:dyDescent="0.25">
      <c r="A2115" s="4" t="str">
        <f>CONCATENATE("3071-0000-0391","")</f>
        <v>3071-0000-0391</v>
      </c>
      <c r="B2115" s="4" t="s">
        <v>740</v>
      </c>
      <c r="C2115" s="5">
        <v>41489</v>
      </c>
      <c r="D2115" s="5">
        <v>41549</v>
      </c>
      <c r="E2115" s="4" t="s">
        <v>7</v>
      </c>
      <c r="F2115" s="4" t="s">
        <v>7</v>
      </c>
    </row>
    <row r="2116" spans="1:6" x14ac:dyDescent="0.25">
      <c r="A2116" s="4" t="str">
        <f>CONCATENATE("3071-0000-0676","")</f>
        <v>3071-0000-0676</v>
      </c>
      <c r="B2116" s="4" t="s">
        <v>717</v>
      </c>
      <c r="C2116" s="5">
        <v>41489</v>
      </c>
      <c r="D2116" s="5">
        <v>41549</v>
      </c>
      <c r="E2116" s="4" t="s">
        <v>7</v>
      </c>
      <c r="F2116" s="4" t="s">
        <v>273</v>
      </c>
    </row>
    <row r="2117" spans="1:6" x14ac:dyDescent="0.25">
      <c r="A2117" s="4" t="str">
        <f>CONCATENATE("3071-0000-2968","")</f>
        <v>3071-0000-2968</v>
      </c>
      <c r="B2117" s="4" t="s">
        <v>1352</v>
      </c>
      <c r="C2117" s="5">
        <v>41489</v>
      </c>
      <c r="D2117" s="5">
        <v>41549</v>
      </c>
      <c r="E2117" s="4" t="s">
        <v>7</v>
      </c>
      <c r="F2117" s="4" t="s">
        <v>808</v>
      </c>
    </row>
    <row r="2118" spans="1:6" x14ac:dyDescent="0.25">
      <c r="A2118" s="4" t="str">
        <f>CONCATENATE("3071-0000-7376","")</f>
        <v>3071-0000-7376</v>
      </c>
      <c r="B2118" s="4" t="s">
        <v>4512</v>
      </c>
      <c r="C2118" s="5">
        <v>41489</v>
      </c>
      <c r="D2118" s="5">
        <v>41549</v>
      </c>
      <c r="E2118" s="4" t="s">
        <v>1410</v>
      </c>
      <c r="F2118" s="4" t="s">
        <v>1410</v>
      </c>
    </row>
    <row r="2119" spans="1:6" x14ac:dyDescent="0.25">
      <c r="A2119" s="4" t="str">
        <f>CONCATENATE("3071-0000-2528","")</f>
        <v>3071-0000-2528</v>
      </c>
      <c r="B2119" s="4" t="s">
        <v>3407</v>
      </c>
      <c r="C2119" s="5">
        <v>41489</v>
      </c>
      <c r="D2119" s="5">
        <v>41549</v>
      </c>
      <c r="E2119" s="4" t="s">
        <v>1857</v>
      </c>
      <c r="F2119" s="4" t="s">
        <v>3306</v>
      </c>
    </row>
    <row r="2120" spans="1:6" x14ac:dyDescent="0.25">
      <c r="A2120" s="4" t="str">
        <f>CONCATENATE("3071-0000-3536","")</f>
        <v>3071-0000-3536</v>
      </c>
      <c r="B2120" s="4" t="s">
        <v>1552</v>
      </c>
      <c r="C2120" s="5">
        <v>41489</v>
      </c>
      <c r="D2120" s="5">
        <v>41549</v>
      </c>
      <c r="E2120" s="4" t="s">
        <v>1410</v>
      </c>
      <c r="F2120" s="4" t="s">
        <v>1411</v>
      </c>
    </row>
    <row r="2121" spans="1:6" x14ac:dyDescent="0.25">
      <c r="A2121" s="4" t="str">
        <f>CONCATENATE("3071-0000-2243","")</f>
        <v>3071-0000-2243</v>
      </c>
      <c r="B2121" s="4" t="s">
        <v>3545</v>
      </c>
      <c r="C2121" s="5">
        <v>41489</v>
      </c>
      <c r="D2121" s="5">
        <v>41549</v>
      </c>
      <c r="E2121" s="4" t="s">
        <v>2944</v>
      </c>
      <c r="F2121" s="4" t="s">
        <v>2945</v>
      </c>
    </row>
    <row r="2122" spans="1:6" x14ac:dyDescent="0.25">
      <c r="A2122" s="4" t="str">
        <f>CONCATENATE("3071-0000-1511","")</f>
        <v>3071-0000-1511</v>
      </c>
      <c r="B2122" s="4" t="s">
        <v>2446</v>
      </c>
      <c r="C2122" s="5">
        <v>41489</v>
      </c>
      <c r="D2122" s="5">
        <v>41549</v>
      </c>
      <c r="E2122" s="4" t="s">
        <v>1381</v>
      </c>
      <c r="F2122" s="4" t="s">
        <v>2303</v>
      </c>
    </row>
    <row r="2123" spans="1:6" x14ac:dyDescent="0.25">
      <c r="A2123" s="4" t="str">
        <f>CONCATENATE("3071-0000-2281","")</f>
        <v>3071-0000-2281</v>
      </c>
      <c r="B2123" s="4" t="s">
        <v>3543</v>
      </c>
      <c r="C2123" s="5">
        <v>41489</v>
      </c>
      <c r="D2123" s="5">
        <v>41549</v>
      </c>
      <c r="E2123" s="4" t="s">
        <v>2944</v>
      </c>
      <c r="F2123" s="4" t="s">
        <v>2945</v>
      </c>
    </row>
    <row r="2124" spans="1:6" x14ac:dyDescent="0.25">
      <c r="A2124" s="4" t="str">
        <f>CONCATENATE("3071-0000-2693","")</f>
        <v>3071-0000-2693</v>
      </c>
      <c r="B2124" s="4" t="s">
        <v>3536</v>
      </c>
      <c r="C2124" s="5">
        <v>41489</v>
      </c>
      <c r="D2124" s="5">
        <v>41549</v>
      </c>
      <c r="E2124" s="4" t="s">
        <v>2944</v>
      </c>
      <c r="F2124" s="4" t="s">
        <v>3515</v>
      </c>
    </row>
    <row r="2125" spans="1:6" x14ac:dyDescent="0.25">
      <c r="A2125" s="4" t="str">
        <f>CONCATENATE("3071-0000-2360","")</f>
        <v>3071-0000-2360</v>
      </c>
      <c r="B2125" s="4" t="s">
        <v>3080</v>
      </c>
      <c r="C2125" s="5">
        <v>41489</v>
      </c>
      <c r="D2125" s="5">
        <v>41549</v>
      </c>
      <c r="E2125" s="4" t="s">
        <v>2944</v>
      </c>
      <c r="F2125" s="4" t="s">
        <v>2945</v>
      </c>
    </row>
    <row r="2126" spans="1:6" x14ac:dyDescent="0.25">
      <c r="A2126" s="4" t="str">
        <f>CONCATENATE("3071-0000-3158","")</f>
        <v>3071-0000-3158</v>
      </c>
      <c r="B2126" s="4" t="s">
        <v>1246</v>
      </c>
      <c r="C2126" s="5">
        <v>41489</v>
      </c>
      <c r="D2126" s="5">
        <v>41549</v>
      </c>
      <c r="E2126" s="4" t="s">
        <v>7</v>
      </c>
      <c r="F2126" s="4" t="s">
        <v>808</v>
      </c>
    </row>
    <row r="2127" spans="1:6" x14ac:dyDescent="0.25">
      <c r="A2127" s="4" t="str">
        <f>CONCATENATE("3071-0000-6992","")</f>
        <v>3071-0000-6992</v>
      </c>
      <c r="B2127" s="4" t="s">
        <v>4406</v>
      </c>
      <c r="C2127" s="5">
        <v>41489</v>
      </c>
      <c r="D2127" s="5">
        <v>41549</v>
      </c>
      <c r="E2127" s="4" t="s">
        <v>1410</v>
      </c>
      <c r="F2127" s="4" t="s">
        <v>1410</v>
      </c>
    </row>
    <row r="2128" spans="1:6" x14ac:dyDescent="0.25">
      <c r="A2128" s="4" t="str">
        <f>CONCATENATE("3071-0000-0991","")</f>
        <v>3071-0000-0991</v>
      </c>
      <c r="B2128" s="4" t="s">
        <v>2202</v>
      </c>
      <c r="C2128" s="5">
        <v>41489</v>
      </c>
      <c r="D2128" s="5">
        <v>41549</v>
      </c>
      <c r="E2128" s="4" t="s">
        <v>1857</v>
      </c>
      <c r="F2128" s="4" t="s">
        <v>1857</v>
      </c>
    </row>
    <row r="2129" spans="1:6" x14ac:dyDescent="0.25">
      <c r="A2129" s="4" t="str">
        <f>CONCATENATE("3071-0000-0899","")</f>
        <v>3071-0000-0899</v>
      </c>
      <c r="B2129" s="4" t="s">
        <v>1963</v>
      </c>
      <c r="C2129" s="5">
        <v>41489</v>
      </c>
      <c r="D2129" s="5">
        <v>41549</v>
      </c>
      <c r="E2129" s="4" t="s">
        <v>1857</v>
      </c>
      <c r="F2129" s="4" t="s">
        <v>1857</v>
      </c>
    </row>
    <row r="2130" spans="1:6" x14ac:dyDescent="0.25">
      <c r="A2130" s="4" t="str">
        <f>CONCATENATE("3071-0000-0848","")</f>
        <v>3071-0000-0848</v>
      </c>
      <c r="B2130" s="4" t="s">
        <v>1929</v>
      </c>
      <c r="C2130" s="5">
        <v>41489</v>
      </c>
      <c r="D2130" s="5">
        <v>41549</v>
      </c>
      <c r="E2130" s="4" t="s">
        <v>1857</v>
      </c>
      <c r="F2130" s="4" t="s">
        <v>1857</v>
      </c>
    </row>
    <row r="2131" spans="1:6" x14ac:dyDescent="0.25">
      <c r="A2131" s="4" t="str">
        <f>CONCATENATE("3071-0000-3230","")</f>
        <v>3071-0000-3230</v>
      </c>
      <c r="B2131" s="4" t="s">
        <v>1302</v>
      </c>
      <c r="C2131" s="5">
        <v>41489</v>
      </c>
      <c r="D2131" s="5">
        <v>41549</v>
      </c>
      <c r="E2131" s="4" t="s">
        <v>7</v>
      </c>
      <c r="F2131" s="4" t="s">
        <v>808</v>
      </c>
    </row>
    <row r="2132" spans="1:6" x14ac:dyDescent="0.25">
      <c r="A2132" s="4" t="str">
        <f>CONCATENATE("3071-0000-3313","")</f>
        <v>3071-0000-3313</v>
      </c>
      <c r="B2132" s="4" t="s">
        <v>958</v>
      </c>
      <c r="C2132" s="5">
        <v>41489</v>
      </c>
      <c r="D2132" s="5">
        <v>41549</v>
      </c>
      <c r="E2132" s="4" t="s">
        <v>7</v>
      </c>
      <c r="F2132" s="4" t="s">
        <v>808</v>
      </c>
    </row>
    <row r="2133" spans="1:6" x14ac:dyDescent="0.25">
      <c r="A2133" s="4" t="str">
        <f>CONCATENATE("3071-0000-3006","")</f>
        <v>3071-0000-3006</v>
      </c>
      <c r="B2133" s="4" t="s">
        <v>919</v>
      </c>
      <c r="C2133" s="5">
        <v>41489</v>
      </c>
      <c r="D2133" s="5">
        <v>41549</v>
      </c>
      <c r="E2133" s="4" t="s">
        <v>7</v>
      </c>
      <c r="F2133" s="4" t="s">
        <v>808</v>
      </c>
    </row>
    <row r="2134" spans="1:6" x14ac:dyDescent="0.25">
      <c r="A2134" s="4" t="str">
        <f>CONCATENATE("3071-0000-0631","")</f>
        <v>3071-0000-0631</v>
      </c>
      <c r="B2134" s="4" t="s">
        <v>423</v>
      </c>
      <c r="C2134" s="5">
        <v>41489</v>
      </c>
      <c r="D2134" s="5">
        <v>41549</v>
      </c>
      <c r="E2134" s="4" t="s">
        <v>7</v>
      </c>
      <c r="F2134" s="4" t="s">
        <v>7</v>
      </c>
    </row>
    <row r="2135" spans="1:6" x14ac:dyDescent="0.25">
      <c r="A2135" s="4" t="str">
        <f>CONCATENATE("3071-0000-1734","")</f>
        <v>3071-0000-1734</v>
      </c>
      <c r="B2135" s="4" t="s">
        <v>2494</v>
      </c>
      <c r="C2135" s="5">
        <v>41489</v>
      </c>
      <c r="D2135" s="5">
        <v>41549</v>
      </c>
      <c r="E2135" s="4" t="s">
        <v>1381</v>
      </c>
      <c r="F2135" s="4" t="s">
        <v>2303</v>
      </c>
    </row>
    <row r="2136" spans="1:6" x14ac:dyDescent="0.25">
      <c r="A2136" s="4" t="str">
        <f>CONCATENATE("3071-0000-3967","")</f>
        <v>3071-0000-3967</v>
      </c>
      <c r="B2136" s="4" t="s">
        <v>4167</v>
      </c>
      <c r="C2136" s="5">
        <v>41489</v>
      </c>
      <c r="D2136" s="5">
        <v>41549</v>
      </c>
      <c r="E2136" s="4" t="s">
        <v>2944</v>
      </c>
      <c r="F2136" s="4" t="s">
        <v>3513</v>
      </c>
    </row>
    <row r="2137" spans="1:6" x14ac:dyDescent="0.25">
      <c r="A2137" s="4" t="str">
        <f>CONCATENATE("3071-0000-5643","")</f>
        <v>3071-0000-5643</v>
      </c>
      <c r="B2137" s="4" t="s">
        <v>7267</v>
      </c>
      <c r="C2137" s="5">
        <v>41489</v>
      </c>
      <c r="D2137" s="5">
        <v>41549</v>
      </c>
      <c r="E2137" s="4" t="s">
        <v>5185</v>
      </c>
      <c r="F2137" s="4" t="s">
        <v>5185</v>
      </c>
    </row>
    <row r="2138" spans="1:6" x14ac:dyDescent="0.25">
      <c r="A2138" s="4" t="str">
        <f>CONCATENATE("3071-0000-8772","")</f>
        <v>3071-0000-8772</v>
      </c>
      <c r="B2138" s="4" t="s">
        <v>6393</v>
      </c>
      <c r="C2138" s="5">
        <v>41489</v>
      </c>
      <c r="D2138" s="5">
        <v>41549</v>
      </c>
      <c r="E2138" s="4" t="s">
        <v>5185</v>
      </c>
      <c r="F2138" s="4" t="s">
        <v>5292</v>
      </c>
    </row>
    <row r="2139" spans="1:6" x14ac:dyDescent="0.25">
      <c r="A2139" s="4" t="str">
        <f>CONCATENATE("3071-0000-4555","")</f>
        <v>3071-0000-4555</v>
      </c>
      <c r="B2139" s="4" t="s">
        <v>9081</v>
      </c>
      <c r="C2139" s="5">
        <v>41489</v>
      </c>
      <c r="D2139" s="5">
        <v>41549</v>
      </c>
      <c r="E2139" s="4" t="s">
        <v>1410</v>
      </c>
      <c r="F2139" s="4" t="s">
        <v>8696</v>
      </c>
    </row>
    <row r="2140" spans="1:6" x14ac:dyDescent="0.25">
      <c r="A2140" s="4" t="str">
        <f>CONCATENATE("3071-0000-7640","")</f>
        <v>3071-0000-7640</v>
      </c>
      <c r="B2140" s="4" t="s">
        <v>5182</v>
      </c>
      <c r="C2140" s="5">
        <v>41489</v>
      </c>
      <c r="D2140" s="5">
        <v>41549</v>
      </c>
      <c r="E2140" s="4" t="s">
        <v>1410</v>
      </c>
      <c r="F2140" s="4" t="s">
        <v>4616</v>
      </c>
    </row>
    <row r="2141" spans="1:6" x14ac:dyDescent="0.25">
      <c r="A2141" s="4" t="str">
        <f>CONCATENATE("3071-0000-7236","")</f>
        <v>3071-0000-7236</v>
      </c>
      <c r="B2141" s="4" t="s">
        <v>4927</v>
      </c>
      <c r="C2141" s="5">
        <v>41489</v>
      </c>
      <c r="D2141" s="5">
        <v>41549</v>
      </c>
      <c r="E2141" s="4" t="s">
        <v>1410</v>
      </c>
      <c r="F2141" s="4" t="s">
        <v>1410</v>
      </c>
    </row>
    <row r="2142" spans="1:6" x14ac:dyDescent="0.25">
      <c r="A2142" s="4" t="str">
        <f>CONCATENATE("3071-0000-1232","")</f>
        <v>3071-0000-1232</v>
      </c>
      <c r="B2142" s="4" t="s">
        <v>2281</v>
      </c>
      <c r="C2142" s="5">
        <v>41489</v>
      </c>
      <c r="D2142" s="5">
        <v>41549</v>
      </c>
      <c r="E2142" s="4" t="s">
        <v>1381</v>
      </c>
      <c r="F2142" s="4" t="s">
        <v>2259</v>
      </c>
    </row>
    <row r="2143" spans="1:6" x14ac:dyDescent="0.25">
      <c r="A2143" s="4" t="str">
        <f>CONCATENATE("3071-0000-0130","")</f>
        <v>3071-0000-0130</v>
      </c>
      <c r="B2143" s="4" t="s">
        <v>279</v>
      </c>
      <c r="C2143" s="5">
        <v>41489</v>
      </c>
      <c r="D2143" s="5">
        <v>41549</v>
      </c>
      <c r="E2143" s="4" t="s">
        <v>7</v>
      </c>
      <c r="F2143" s="4" t="s">
        <v>7</v>
      </c>
    </row>
    <row r="2144" spans="1:6" x14ac:dyDescent="0.25">
      <c r="A2144" s="4" t="str">
        <f>CONCATENATE("3071-0000-0343","")</f>
        <v>3071-0000-0343</v>
      </c>
      <c r="B2144" s="4" t="s">
        <v>498</v>
      </c>
      <c r="C2144" s="5">
        <v>41489</v>
      </c>
      <c r="D2144" s="5">
        <v>41549</v>
      </c>
      <c r="E2144" s="4" t="s">
        <v>7</v>
      </c>
      <c r="F2144" s="4" t="s">
        <v>7</v>
      </c>
    </row>
    <row r="2145" spans="1:6" x14ac:dyDescent="0.25">
      <c r="A2145" s="4" t="str">
        <f>CONCATENATE("3071-0000-8038","")</f>
        <v>3071-0000-8038</v>
      </c>
      <c r="B2145" s="4" t="s">
        <v>5974</v>
      </c>
      <c r="C2145" s="5">
        <v>41489</v>
      </c>
      <c r="D2145" s="5">
        <v>41549</v>
      </c>
      <c r="E2145" s="4" t="s">
        <v>5185</v>
      </c>
      <c r="F2145" s="4" t="s">
        <v>5185</v>
      </c>
    </row>
    <row r="2146" spans="1:6" x14ac:dyDescent="0.25">
      <c r="A2146" s="4" t="str">
        <f>CONCATENATE("3071-0000-1224","")</f>
        <v>3071-0000-1224</v>
      </c>
      <c r="B2146" s="4" t="s">
        <v>2293</v>
      </c>
      <c r="C2146" s="5">
        <v>41489</v>
      </c>
      <c r="D2146" s="5">
        <v>41549</v>
      </c>
      <c r="E2146" s="4" t="s">
        <v>1381</v>
      </c>
      <c r="F2146" s="4" t="s">
        <v>2259</v>
      </c>
    </row>
    <row r="2147" spans="1:6" x14ac:dyDescent="0.25">
      <c r="A2147" s="4" t="str">
        <f>CONCATENATE("3071-0000-1178","")</f>
        <v>3071-0000-1178</v>
      </c>
      <c r="B2147" s="4" t="s">
        <v>2262</v>
      </c>
      <c r="C2147" s="5">
        <v>41489</v>
      </c>
      <c r="D2147" s="5">
        <v>41549</v>
      </c>
      <c r="E2147" s="4" t="s">
        <v>1381</v>
      </c>
      <c r="F2147" s="4" t="s">
        <v>2259</v>
      </c>
    </row>
    <row r="2148" spans="1:6" x14ac:dyDescent="0.25">
      <c r="A2148" s="4" t="str">
        <f>CONCATENATE("3071-0000-8144","")</f>
        <v>3071-0000-8144</v>
      </c>
      <c r="B2148" s="4" t="s">
        <v>5753</v>
      </c>
      <c r="C2148" s="5">
        <v>41489</v>
      </c>
      <c r="D2148" s="5">
        <v>41549</v>
      </c>
      <c r="E2148" s="4" t="s">
        <v>5185</v>
      </c>
      <c r="F2148" s="4" t="s">
        <v>5250</v>
      </c>
    </row>
    <row r="2149" spans="1:6" x14ac:dyDescent="0.25">
      <c r="A2149" s="4" t="str">
        <f>CONCATENATE("3071-0000-1033","")</f>
        <v>3071-0000-1033</v>
      </c>
      <c r="B2149" s="4" t="s">
        <v>2268</v>
      </c>
      <c r="C2149" s="5">
        <v>41489</v>
      </c>
      <c r="D2149" s="5">
        <v>41549</v>
      </c>
      <c r="E2149" s="4" t="s">
        <v>1857</v>
      </c>
      <c r="F2149" s="4" t="s">
        <v>1857</v>
      </c>
    </row>
    <row r="2150" spans="1:6" x14ac:dyDescent="0.25">
      <c r="A2150" s="4" t="str">
        <f>CONCATENATE("3071-0000-7844","")</f>
        <v>3071-0000-7844</v>
      </c>
      <c r="B2150" s="4" t="s">
        <v>6190</v>
      </c>
      <c r="C2150" s="5">
        <v>41489</v>
      </c>
      <c r="D2150" s="5">
        <v>41549</v>
      </c>
      <c r="E2150" s="4" t="s">
        <v>5185</v>
      </c>
      <c r="F2150" s="4" t="s">
        <v>5185</v>
      </c>
    </row>
    <row r="2151" spans="1:6" x14ac:dyDescent="0.25">
      <c r="A2151" s="4" t="str">
        <f>CONCATENATE("3071-0000-4105","")</f>
        <v>3071-0000-4105</v>
      </c>
      <c r="B2151" s="4" t="s">
        <v>4153</v>
      </c>
      <c r="C2151" s="5">
        <v>41489</v>
      </c>
      <c r="D2151" s="5">
        <v>41549</v>
      </c>
      <c r="E2151" s="4" t="s">
        <v>7</v>
      </c>
      <c r="F2151" s="4" t="s">
        <v>1419</v>
      </c>
    </row>
    <row r="2152" spans="1:6" x14ac:dyDescent="0.25">
      <c r="A2152" s="4" t="str">
        <f>CONCATENATE("3071-0000-9098","")</f>
        <v>3071-0000-9098</v>
      </c>
      <c r="B2152" s="4" t="s">
        <v>5264</v>
      </c>
      <c r="C2152" s="5">
        <v>41489</v>
      </c>
      <c r="D2152" s="5">
        <v>41549</v>
      </c>
      <c r="E2152" s="4" t="s">
        <v>5185</v>
      </c>
      <c r="F2152" s="4" t="s">
        <v>5185</v>
      </c>
    </row>
    <row r="2153" spans="1:6" x14ac:dyDescent="0.25">
      <c r="A2153" s="4" t="str">
        <f>CONCATENATE("3071-0000-0273","")</f>
        <v>3071-0000-0273</v>
      </c>
      <c r="B2153" s="4" t="s">
        <v>661</v>
      </c>
      <c r="C2153" s="5">
        <v>41489</v>
      </c>
      <c r="D2153" s="5">
        <v>41549</v>
      </c>
      <c r="E2153" s="4" t="s">
        <v>7</v>
      </c>
      <c r="F2153" s="4" t="s">
        <v>7</v>
      </c>
    </row>
    <row r="2154" spans="1:6" x14ac:dyDescent="0.25">
      <c r="A2154" s="4" t="str">
        <f>CONCATENATE("3071-0000-8993","")</f>
        <v>3071-0000-8993</v>
      </c>
      <c r="B2154" s="4" t="s">
        <v>6090</v>
      </c>
      <c r="C2154" s="5">
        <v>41489</v>
      </c>
      <c r="D2154" s="5">
        <v>41549</v>
      </c>
      <c r="E2154" s="4" t="s">
        <v>5185</v>
      </c>
      <c r="F2154" s="4" t="s">
        <v>5945</v>
      </c>
    </row>
    <row r="2155" spans="1:6" x14ac:dyDescent="0.25">
      <c r="A2155" s="4" t="str">
        <f>CONCATENATE("3071-0000-4786","")</f>
        <v>3071-0000-4786</v>
      </c>
      <c r="B2155" s="4" t="s">
        <v>9012</v>
      </c>
      <c r="C2155" s="5">
        <v>41489</v>
      </c>
      <c r="D2155" s="5">
        <v>41549</v>
      </c>
      <c r="E2155" s="4" t="s">
        <v>1410</v>
      </c>
      <c r="F2155" s="4" t="s">
        <v>8696</v>
      </c>
    </row>
    <row r="2156" spans="1:6" x14ac:dyDescent="0.25">
      <c r="A2156" s="4" t="str">
        <f>CONCATENATE("3071-0000-7181","")</f>
        <v>3071-0000-7181</v>
      </c>
      <c r="B2156" s="4" t="s">
        <v>4954</v>
      </c>
      <c r="C2156" s="5">
        <v>41489</v>
      </c>
      <c r="D2156" s="5">
        <v>41549</v>
      </c>
      <c r="E2156" s="4" t="s">
        <v>1410</v>
      </c>
      <c r="F2156" s="4" t="s">
        <v>1410</v>
      </c>
    </row>
    <row r="2157" spans="1:6" x14ac:dyDescent="0.25">
      <c r="A2157" s="4" t="str">
        <f>CONCATENATE("3071-0000-1603","")</f>
        <v>3071-0000-1603</v>
      </c>
      <c r="B2157" s="4" t="s">
        <v>2848</v>
      </c>
      <c r="C2157" s="5">
        <v>41489</v>
      </c>
      <c r="D2157" s="5">
        <v>41549</v>
      </c>
      <c r="E2157" s="4" t="s">
        <v>1381</v>
      </c>
      <c r="F2157" s="4" t="s">
        <v>2303</v>
      </c>
    </row>
    <row r="2158" spans="1:6" x14ac:dyDescent="0.25">
      <c r="A2158" s="4" t="str">
        <f>CONCATENATE("3071-0000-6243","")</f>
        <v>3071-0000-6243</v>
      </c>
      <c r="B2158" s="4" t="s">
        <v>7033</v>
      </c>
      <c r="C2158" s="5">
        <v>41489</v>
      </c>
      <c r="D2158" s="5">
        <v>41549</v>
      </c>
      <c r="E2158" s="4" t="s">
        <v>1410</v>
      </c>
      <c r="F2158" s="4" t="s">
        <v>6798</v>
      </c>
    </row>
    <row r="2159" spans="1:6" x14ac:dyDescent="0.25">
      <c r="A2159" s="4" t="str">
        <f>CONCATENATE("3071-0000-4003","")</f>
        <v>3071-0000-4003</v>
      </c>
      <c r="B2159" s="4" t="s">
        <v>4121</v>
      </c>
      <c r="C2159" s="5">
        <v>41489</v>
      </c>
      <c r="D2159" s="5">
        <v>41549</v>
      </c>
      <c r="E2159" s="4" t="s">
        <v>2944</v>
      </c>
      <c r="F2159" s="4" t="s">
        <v>3513</v>
      </c>
    </row>
    <row r="2160" spans="1:6" x14ac:dyDescent="0.25">
      <c r="A2160" s="4" t="str">
        <f>CONCATENATE("3071-0000-0050","")</f>
        <v>3071-0000-0050</v>
      </c>
      <c r="B2160" s="4" t="s">
        <v>460</v>
      </c>
      <c r="C2160" s="5">
        <v>41489</v>
      </c>
      <c r="D2160" s="5">
        <v>41549</v>
      </c>
      <c r="E2160" s="4" t="s">
        <v>7</v>
      </c>
      <c r="F2160" s="4" t="s">
        <v>7</v>
      </c>
    </row>
    <row r="2161" spans="1:6" x14ac:dyDescent="0.25">
      <c r="A2161" s="4" t="str">
        <f>CONCATENATE("3071-0000-0586","")</f>
        <v>3071-0000-0586</v>
      </c>
      <c r="B2161" s="4" t="s">
        <v>655</v>
      </c>
      <c r="C2161" s="5">
        <v>41489</v>
      </c>
      <c r="D2161" s="5">
        <v>41549</v>
      </c>
      <c r="E2161" s="4" t="s">
        <v>7</v>
      </c>
      <c r="F2161" s="4" t="s">
        <v>7</v>
      </c>
    </row>
    <row r="2162" spans="1:6" x14ac:dyDescent="0.25">
      <c r="A2162" s="4" t="str">
        <f>CONCATENATE("3071-0000-4546","")</f>
        <v>3071-0000-4546</v>
      </c>
      <c r="B2162" s="4" t="s">
        <v>9072</v>
      </c>
      <c r="C2162" s="5">
        <v>41489</v>
      </c>
      <c r="D2162" s="5">
        <v>41549</v>
      </c>
      <c r="E2162" s="4" t="s">
        <v>1410</v>
      </c>
      <c r="F2162" s="4" t="s">
        <v>8696</v>
      </c>
    </row>
    <row r="2163" spans="1:6" x14ac:dyDescent="0.25">
      <c r="A2163" s="4" t="str">
        <f>CONCATENATE("3071-0000-1195","")</f>
        <v>3071-0000-1195</v>
      </c>
      <c r="B2163" s="4" t="s">
        <v>1925</v>
      </c>
      <c r="C2163" s="5">
        <v>41489</v>
      </c>
      <c r="D2163" s="5">
        <v>41549</v>
      </c>
      <c r="E2163" s="4" t="s">
        <v>1857</v>
      </c>
      <c r="F2163" s="4" t="s">
        <v>1857</v>
      </c>
    </row>
    <row r="2164" spans="1:6" x14ac:dyDescent="0.25">
      <c r="A2164" s="4" t="str">
        <f>CONCATENATE("3071-0000-4210","")</f>
        <v>3071-0000-4210</v>
      </c>
      <c r="B2164" s="4" t="s">
        <v>4145</v>
      </c>
      <c r="C2164" s="5">
        <v>41489</v>
      </c>
      <c r="D2164" s="5">
        <v>41549</v>
      </c>
      <c r="E2164" s="4" t="s">
        <v>7</v>
      </c>
      <c r="F2164" s="4" t="s">
        <v>3902</v>
      </c>
    </row>
    <row r="2165" spans="1:6" x14ac:dyDescent="0.25">
      <c r="A2165" s="4" t="str">
        <f>CONCATENATE("3071-0000-1110","")</f>
        <v>3071-0000-1110</v>
      </c>
      <c r="B2165" s="4" t="s">
        <v>1997</v>
      </c>
      <c r="C2165" s="5">
        <v>41489</v>
      </c>
      <c r="D2165" s="5">
        <v>41549</v>
      </c>
      <c r="E2165" s="4" t="s">
        <v>1857</v>
      </c>
      <c r="F2165" s="4" t="s">
        <v>1857</v>
      </c>
    </row>
    <row r="2166" spans="1:6" x14ac:dyDescent="0.25">
      <c r="A2166" s="4" t="str">
        <f>CONCATENATE("3071-0000-5732","")</f>
        <v>3071-0000-5732</v>
      </c>
      <c r="B2166" s="4" t="s">
        <v>7447</v>
      </c>
      <c r="C2166" s="5">
        <v>41489</v>
      </c>
      <c r="D2166" s="5">
        <v>41549</v>
      </c>
      <c r="E2166" s="4" t="s">
        <v>5185</v>
      </c>
      <c r="F2166" s="4" t="s">
        <v>5185</v>
      </c>
    </row>
    <row r="2167" spans="1:6" x14ac:dyDescent="0.25">
      <c r="A2167" s="4" t="str">
        <f>CONCATENATE("3071-0000-0289","")</f>
        <v>3071-0000-0289</v>
      </c>
      <c r="B2167" s="4" t="s">
        <v>207</v>
      </c>
      <c r="C2167" s="5">
        <v>41489</v>
      </c>
      <c r="D2167" s="5">
        <v>41549</v>
      </c>
      <c r="E2167" s="4" t="s">
        <v>7</v>
      </c>
      <c r="F2167" s="4" t="s">
        <v>7</v>
      </c>
    </row>
    <row r="2168" spans="1:6" x14ac:dyDescent="0.25">
      <c r="A2168" s="4" t="str">
        <f>CONCATENATE("3071-0000-3111","")</f>
        <v>3071-0000-3111</v>
      </c>
      <c r="B2168" s="4" t="s">
        <v>815</v>
      </c>
      <c r="C2168" s="5">
        <v>41489</v>
      </c>
      <c r="D2168" s="5">
        <v>41549</v>
      </c>
      <c r="E2168" s="4" t="s">
        <v>7</v>
      </c>
      <c r="F2168" s="4" t="s">
        <v>812</v>
      </c>
    </row>
    <row r="2169" spans="1:6" x14ac:dyDescent="0.25">
      <c r="A2169" s="4" t="str">
        <f>CONCATENATE("3071-0000-5181","")</f>
        <v>3071-0000-5181</v>
      </c>
      <c r="B2169" s="4" t="s">
        <v>8982</v>
      </c>
      <c r="C2169" s="5">
        <v>41489</v>
      </c>
      <c r="D2169" s="5">
        <v>41549</v>
      </c>
      <c r="E2169" s="4" t="s">
        <v>1410</v>
      </c>
      <c r="F2169" s="4" t="s">
        <v>8903</v>
      </c>
    </row>
    <row r="2170" spans="1:6" x14ac:dyDescent="0.25">
      <c r="A2170" s="4" t="str">
        <f>CONCATENATE("3071-0000-3059","")</f>
        <v>3071-0000-3059</v>
      </c>
      <c r="B2170" s="4" t="s">
        <v>897</v>
      </c>
      <c r="C2170" s="5">
        <v>41489</v>
      </c>
      <c r="D2170" s="5">
        <v>41549</v>
      </c>
      <c r="E2170" s="4" t="s">
        <v>7</v>
      </c>
      <c r="F2170" s="4" t="s">
        <v>808</v>
      </c>
    </row>
    <row r="2171" spans="1:6" x14ac:dyDescent="0.25">
      <c r="A2171" s="4" t="str">
        <f>CONCATENATE("3071-0000-1700","")</f>
        <v>3071-0000-1700</v>
      </c>
      <c r="B2171" s="4" t="s">
        <v>2379</v>
      </c>
      <c r="C2171" s="5">
        <v>41489</v>
      </c>
      <c r="D2171" s="5">
        <v>41549</v>
      </c>
      <c r="E2171" s="4" t="s">
        <v>1381</v>
      </c>
      <c r="F2171" s="4" t="s">
        <v>2319</v>
      </c>
    </row>
    <row r="2172" spans="1:6" x14ac:dyDescent="0.25">
      <c r="A2172" s="4" t="str">
        <f>CONCATENATE("3071-0000-0566","")</f>
        <v>3071-0000-0566</v>
      </c>
      <c r="B2172" s="4" t="s">
        <v>494</v>
      </c>
      <c r="C2172" s="5">
        <v>41489</v>
      </c>
      <c r="D2172" s="5">
        <v>41549</v>
      </c>
      <c r="E2172" s="4" t="s">
        <v>7</v>
      </c>
      <c r="F2172" s="4" t="s">
        <v>7</v>
      </c>
    </row>
    <row r="2173" spans="1:6" x14ac:dyDescent="0.25">
      <c r="A2173" s="4" t="str">
        <f>CONCATENATE("3071-0000-5567","")</f>
        <v>3071-0000-5567</v>
      </c>
      <c r="B2173" s="4" t="s">
        <v>6935</v>
      </c>
      <c r="C2173" s="5">
        <v>41489</v>
      </c>
      <c r="D2173" s="5">
        <v>41549</v>
      </c>
      <c r="E2173" s="4" t="s">
        <v>5185</v>
      </c>
      <c r="F2173" s="4" t="s">
        <v>5185</v>
      </c>
    </row>
    <row r="2174" spans="1:6" x14ac:dyDescent="0.25">
      <c r="A2174" s="4" t="str">
        <f>CONCATENATE("3071-0000-7214","")</f>
        <v>3071-0000-7214</v>
      </c>
      <c r="B2174" s="4" t="s">
        <v>5020</v>
      </c>
      <c r="C2174" s="5">
        <v>41489</v>
      </c>
      <c r="D2174" s="5">
        <v>41549</v>
      </c>
      <c r="E2174" s="4" t="s">
        <v>1410</v>
      </c>
      <c r="F2174" s="4" t="s">
        <v>1410</v>
      </c>
    </row>
    <row r="2175" spans="1:6" x14ac:dyDescent="0.25">
      <c r="A2175" s="4" t="str">
        <f>CONCATENATE("3071-0000-3284","")</f>
        <v>3071-0000-3284</v>
      </c>
      <c r="B2175" s="4" t="s">
        <v>890</v>
      </c>
      <c r="C2175" s="5">
        <v>41489</v>
      </c>
      <c r="D2175" s="5">
        <v>41549</v>
      </c>
      <c r="E2175" s="4" t="s">
        <v>7</v>
      </c>
      <c r="F2175" s="4" t="s">
        <v>812</v>
      </c>
    </row>
    <row r="2176" spans="1:6" x14ac:dyDescent="0.25">
      <c r="A2176" s="4" t="str">
        <f>CONCATENATE("3071-0000-0611","")</f>
        <v>3071-0000-0611</v>
      </c>
      <c r="B2176" s="4" t="s">
        <v>762</v>
      </c>
      <c r="C2176" s="5">
        <v>41489</v>
      </c>
      <c r="D2176" s="5">
        <v>41549</v>
      </c>
      <c r="E2176" s="4" t="s">
        <v>7</v>
      </c>
      <c r="F2176" s="4" t="s">
        <v>7</v>
      </c>
    </row>
    <row r="2177" spans="1:6" x14ac:dyDescent="0.25">
      <c r="A2177" s="4" t="str">
        <f>CONCATENATE("3071-0000-6084","")</f>
        <v>3071-0000-6084</v>
      </c>
      <c r="B2177" s="4" t="s">
        <v>7530</v>
      </c>
      <c r="C2177" s="5">
        <v>41489</v>
      </c>
      <c r="D2177" s="5">
        <v>41549</v>
      </c>
      <c r="E2177" s="4" t="s">
        <v>1410</v>
      </c>
      <c r="F2177" s="4" t="s">
        <v>1410</v>
      </c>
    </row>
    <row r="2178" spans="1:6" x14ac:dyDescent="0.25">
      <c r="A2178" s="4" t="str">
        <f>CONCATENATE("3071-0000-2249","")</f>
        <v>3071-0000-2249</v>
      </c>
      <c r="B2178" s="4" t="s">
        <v>3572</v>
      </c>
      <c r="C2178" s="5">
        <v>41489</v>
      </c>
      <c r="D2178" s="5">
        <v>41549</v>
      </c>
      <c r="E2178" s="4" t="s">
        <v>2944</v>
      </c>
      <c r="F2178" s="4" t="s">
        <v>2945</v>
      </c>
    </row>
    <row r="2179" spans="1:6" x14ac:dyDescent="0.25">
      <c r="A2179" s="4" t="str">
        <f>CONCATENATE("3071-0000-5128","")</f>
        <v>3071-0000-5128</v>
      </c>
      <c r="B2179" s="4" t="s">
        <v>8954</v>
      </c>
      <c r="C2179" s="5">
        <v>41489</v>
      </c>
      <c r="D2179" s="5">
        <v>41549</v>
      </c>
      <c r="E2179" s="4" t="s">
        <v>1410</v>
      </c>
      <c r="F2179" s="4" t="s">
        <v>8903</v>
      </c>
    </row>
    <row r="2180" spans="1:6" x14ac:dyDescent="0.25">
      <c r="A2180" s="4" t="str">
        <f>CONCATENATE("3071-0000-0612","")</f>
        <v>3071-0000-0612</v>
      </c>
      <c r="B2180" s="4" t="s">
        <v>760</v>
      </c>
      <c r="C2180" s="5">
        <v>41489</v>
      </c>
      <c r="D2180" s="5">
        <v>41549</v>
      </c>
      <c r="E2180" s="4" t="s">
        <v>7</v>
      </c>
      <c r="F2180" s="4" t="s">
        <v>7</v>
      </c>
    </row>
    <row r="2181" spans="1:6" x14ac:dyDescent="0.25">
      <c r="A2181" s="4" t="str">
        <f>CONCATENATE("3071-0000-2475","")</f>
        <v>3071-0000-2475</v>
      </c>
      <c r="B2181" s="4" t="s">
        <v>3639</v>
      </c>
      <c r="C2181" s="5">
        <v>41489</v>
      </c>
      <c r="D2181" s="5">
        <v>41549</v>
      </c>
      <c r="E2181" s="4" t="s">
        <v>2944</v>
      </c>
      <c r="F2181" s="4" t="s">
        <v>3567</v>
      </c>
    </row>
    <row r="2182" spans="1:6" x14ac:dyDescent="0.25">
      <c r="A2182" s="4" t="str">
        <f>CONCATENATE("3071-0000-6193","")</f>
        <v>3071-0000-6193</v>
      </c>
      <c r="B2182" s="4" t="s">
        <v>7630</v>
      </c>
      <c r="C2182" s="5">
        <v>41489</v>
      </c>
      <c r="D2182" s="5">
        <v>41549</v>
      </c>
      <c r="E2182" s="4" t="s">
        <v>1410</v>
      </c>
      <c r="F2182" s="4" t="s">
        <v>1410</v>
      </c>
    </row>
    <row r="2183" spans="1:6" x14ac:dyDescent="0.25">
      <c r="A2183" s="4" t="str">
        <f>CONCATENATE("3071-0000-7589","")</f>
        <v>3071-0000-7589</v>
      </c>
      <c r="B2183" s="4" t="s">
        <v>4518</v>
      </c>
      <c r="C2183" s="5">
        <v>41489</v>
      </c>
      <c r="D2183" s="5">
        <v>41549</v>
      </c>
      <c r="E2183" s="4" t="s">
        <v>1410</v>
      </c>
      <c r="F2183" s="4" t="s">
        <v>1410</v>
      </c>
    </row>
    <row r="2184" spans="1:6" x14ac:dyDescent="0.25">
      <c r="A2184" s="4" t="str">
        <f>CONCATENATE("3071-0000-8400","")</f>
        <v>3071-0000-8400</v>
      </c>
      <c r="B2184" s="4" t="s">
        <v>5801</v>
      </c>
      <c r="C2184" s="5">
        <v>41489</v>
      </c>
      <c r="D2184" s="5">
        <v>41549</v>
      </c>
      <c r="E2184" s="4" t="s">
        <v>5185</v>
      </c>
      <c r="F2184" s="4" t="s">
        <v>5185</v>
      </c>
    </row>
    <row r="2185" spans="1:6" x14ac:dyDescent="0.25">
      <c r="A2185" s="4" t="str">
        <f>CONCATENATE("3071-0000-8978","")</f>
        <v>3071-0000-8978</v>
      </c>
      <c r="B2185" s="4" t="s">
        <v>5615</v>
      </c>
      <c r="C2185" s="5">
        <v>41489</v>
      </c>
      <c r="D2185" s="5">
        <v>41549</v>
      </c>
      <c r="E2185" s="4" t="s">
        <v>5185</v>
      </c>
      <c r="F2185" s="4" t="s">
        <v>5250</v>
      </c>
    </row>
    <row r="2186" spans="1:6" x14ac:dyDescent="0.25">
      <c r="A2186" s="4" t="str">
        <f>CONCATENATE("3071-0000-6853","")</f>
        <v>3071-0000-6853</v>
      </c>
      <c r="B2186" s="4" t="s">
        <v>8257</v>
      </c>
      <c r="C2186" s="5">
        <v>41489</v>
      </c>
      <c r="D2186" s="5">
        <v>41549</v>
      </c>
      <c r="E2186" s="4" t="s">
        <v>1410</v>
      </c>
      <c r="F2186" s="4" t="s">
        <v>8192</v>
      </c>
    </row>
    <row r="2187" spans="1:6" x14ac:dyDescent="0.25">
      <c r="A2187" s="4" t="str">
        <f>CONCATENATE("3071-0000-8017","")</f>
        <v>3071-0000-8017</v>
      </c>
      <c r="B2187" s="4" t="s">
        <v>5639</v>
      </c>
      <c r="C2187" s="5">
        <v>41489</v>
      </c>
      <c r="D2187" s="5">
        <v>41549</v>
      </c>
      <c r="E2187" s="4" t="s">
        <v>5185</v>
      </c>
      <c r="F2187" s="4" t="s">
        <v>5185</v>
      </c>
    </row>
    <row r="2188" spans="1:6" x14ac:dyDescent="0.25">
      <c r="A2188" s="4" t="str">
        <f>CONCATENATE("3071-0000-8637","")</f>
        <v>3071-0000-8637</v>
      </c>
      <c r="B2188" s="4" t="s">
        <v>5616</v>
      </c>
      <c r="C2188" s="5">
        <v>41489</v>
      </c>
      <c r="D2188" s="5">
        <v>41549</v>
      </c>
      <c r="E2188" s="4" t="s">
        <v>5185</v>
      </c>
      <c r="F2188" s="4" t="s">
        <v>5250</v>
      </c>
    </row>
    <row r="2189" spans="1:6" x14ac:dyDescent="0.25">
      <c r="A2189" s="4" t="str">
        <f>CONCATENATE("3071-0000-6501","")</f>
        <v>3071-0000-6501</v>
      </c>
      <c r="B2189" s="4" t="s">
        <v>7921</v>
      </c>
      <c r="C2189" s="5">
        <v>41489</v>
      </c>
      <c r="D2189" s="5">
        <v>41549</v>
      </c>
      <c r="E2189" s="4" t="s">
        <v>1410</v>
      </c>
      <c r="F2189" s="4" t="s">
        <v>4655</v>
      </c>
    </row>
    <row r="2190" spans="1:6" x14ac:dyDescent="0.25">
      <c r="A2190" s="4" t="str">
        <f>CONCATENATE("3071-0000-9380","")</f>
        <v>3071-0000-9380</v>
      </c>
      <c r="B2190" s="4" t="s">
        <v>8473</v>
      </c>
      <c r="C2190" s="5">
        <v>41489</v>
      </c>
      <c r="D2190" s="5">
        <v>41549</v>
      </c>
      <c r="E2190" s="4" t="s">
        <v>1410</v>
      </c>
      <c r="F2190" s="4" t="s">
        <v>4459</v>
      </c>
    </row>
    <row r="2191" spans="1:6" x14ac:dyDescent="0.25">
      <c r="A2191" s="4" t="str">
        <f>CONCATENATE("3071-0000-8166","")</f>
        <v>3071-0000-8166</v>
      </c>
      <c r="B2191" s="4" t="s">
        <v>5220</v>
      </c>
      <c r="C2191" s="5">
        <v>41489</v>
      </c>
      <c r="D2191" s="5">
        <v>41549</v>
      </c>
      <c r="E2191" s="4" t="s">
        <v>5185</v>
      </c>
      <c r="F2191" s="4" t="s">
        <v>5185</v>
      </c>
    </row>
    <row r="2192" spans="1:6" x14ac:dyDescent="0.25">
      <c r="A2192" s="4" t="str">
        <f>CONCATENATE("3071-0000-7055","")</f>
        <v>3071-0000-7055</v>
      </c>
      <c r="B2192" s="4" t="s">
        <v>4840</v>
      </c>
      <c r="C2192" s="5">
        <v>41489</v>
      </c>
      <c r="D2192" s="5">
        <v>41549</v>
      </c>
      <c r="E2192" s="4" t="s">
        <v>1410</v>
      </c>
      <c r="F2192" s="4" t="s">
        <v>1410</v>
      </c>
    </row>
    <row r="2193" spans="1:6" x14ac:dyDescent="0.25">
      <c r="A2193" s="4" t="str">
        <f>CONCATENATE("3071-0000-8499","")</f>
        <v>3071-0000-8499</v>
      </c>
      <c r="B2193" s="4" t="s">
        <v>6150</v>
      </c>
      <c r="C2193" s="5">
        <v>41489</v>
      </c>
      <c r="D2193" s="5">
        <v>41549</v>
      </c>
      <c r="E2193" s="4" t="s">
        <v>5185</v>
      </c>
      <c r="F2193" s="4" t="s">
        <v>5945</v>
      </c>
    </row>
    <row r="2194" spans="1:6" x14ac:dyDescent="0.25">
      <c r="A2194" s="4" t="str">
        <f>CONCATENATE("3071-0000-9029","")</f>
        <v>3071-0000-9029</v>
      </c>
      <c r="B2194" s="4" t="s">
        <v>6500</v>
      </c>
      <c r="C2194" s="5">
        <v>41489</v>
      </c>
      <c r="D2194" s="5">
        <v>41549</v>
      </c>
      <c r="E2194" s="4" t="s">
        <v>5185</v>
      </c>
      <c r="F2194" s="4" t="s">
        <v>5292</v>
      </c>
    </row>
    <row r="2195" spans="1:6" x14ac:dyDescent="0.25">
      <c r="A2195" s="4" t="str">
        <f>CONCATENATE("3071-0000-8783","")</f>
        <v>3071-0000-8783</v>
      </c>
      <c r="B2195" s="4" t="s">
        <v>6577</v>
      </c>
      <c r="C2195" s="5">
        <v>41489</v>
      </c>
      <c r="D2195" s="5">
        <v>41549</v>
      </c>
      <c r="E2195" s="4" t="s">
        <v>5185</v>
      </c>
      <c r="F2195" s="4" t="s">
        <v>5292</v>
      </c>
    </row>
    <row r="2196" spans="1:6" x14ac:dyDescent="0.25">
      <c r="A2196" s="4" t="str">
        <f>CONCATENATE("3071-0000-7555","")</f>
        <v>3071-0000-7555</v>
      </c>
      <c r="B2196" s="4" t="s">
        <v>4501</v>
      </c>
      <c r="C2196" s="5">
        <v>41489</v>
      </c>
      <c r="D2196" s="5">
        <v>41549</v>
      </c>
      <c r="E2196" s="4" t="s">
        <v>1410</v>
      </c>
      <c r="F2196" s="4" t="s">
        <v>1410</v>
      </c>
    </row>
    <row r="2197" spans="1:6" x14ac:dyDescent="0.25">
      <c r="A2197" s="4" t="str">
        <f>CONCATENATE("3071-0000-3100","")</f>
        <v>3071-0000-3100</v>
      </c>
      <c r="B2197" s="4" t="s">
        <v>1058</v>
      </c>
      <c r="C2197" s="5">
        <v>41489</v>
      </c>
      <c r="D2197" s="5">
        <v>41549</v>
      </c>
      <c r="E2197" s="4" t="s">
        <v>7</v>
      </c>
      <c r="F2197" s="4" t="s">
        <v>808</v>
      </c>
    </row>
    <row r="2198" spans="1:6" x14ac:dyDescent="0.25">
      <c r="A2198" s="4" t="str">
        <f>CONCATENATE("3071-0000-7609","")</f>
        <v>3071-0000-7609</v>
      </c>
      <c r="B2198" s="4" t="s">
        <v>4973</v>
      </c>
      <c r="C2198" s="5">
        <v>41489</v>
      </c>
      <c r="D2198" s="5">
        <v>41549</v>
      </c>
      <c r="E2198" s="4" t="s">
        <v>1410</v>
      </c>
      <c r="F2198" s="4" t="s">
        <v>4616</v>
      </c>
    </row>
    <row r="2199" spans="1:6" x14ac:dyDescent="0.25">
      <c r="A2199" s="4" t="str">
        <f>CONCATENATE("3071-0000-0155","")</f>
        <v>3071-0000-0155</v>
      </c>
      <c r="B2199" s="4" t="s">
        <v>333</v>
      </c>
      <c r="C2199" s="5">
        <v>41489</v>
      </c>
      <c r="D2199" s="5">
        <v>41549</v>
      </c>
      <c r="E2199" s="4" t="s">
        <v>7</v>
      </c>
      <c r="F2199" s="4" t="s">
        <v>7</v>
      </c>
    </row>
    <row r="2200" spans="1:6" x14ac:dyDescent="0.25">
      <c r="A2200" s="4" t="str">
        <f>CONCATENATE("3071-0000-1935","")</f>
        <v>3071-0000-1935</v>
      </c>
      <c r="B2200" s="4" t="s">
        <v>3103</v>
      </c>
      <c r="C2200" s="5">
        <v>41489</v>
      </c>
      <c r="D2200" s="5">
        <v>41549</v>
      </c>
      <c r="E2200" s="4" t="s">
        <v>2944</v>
      </c>
      <c r="F2200" s="4" t="s">
        <v>2945</v>
      </c>
    </row>
    <row r="2201" spans="1:6" x14ac:dyDescent="0.25">
      <c r="A2201" s="4" t="str">
        <f>CONCATENATE("3071-0000-0146","")</f>
        <v>3071-0000-0146</v>
      </c>
      <c r="B2201" s="4" t="s">
        <v>321</v>
      </c>
      <c r="C2201" s="5">
        <v>41489</v>
      </c>
      <c r="D2201" s="5">
        <v>41549</v>
      </c>
      <c r="E2201" s="4" t="s">
        <v>7</v>
      </c>
      <c r="F2201" s="4" t="s">
        <v>7</v>
      </c>
    </row>
    <row r="2202" spans="1:6" x14ac:dyDescent="0.25">
      <c r="A2202" s="4" t="str">
        <f>CONCATENATE("3071-0000-3321","")</f>
        <v>3071-0000-3321</v>
      </c>
      <c r="B2202" s="4" t="s">
        <v>1380</v>
      </c>
      <c r="C2202" s="5">
        <v>41489</v>
      </c>
      <c r="D2202" s="5">
        <v>41549</v>
      </c>
      <c r="E2202" s="4" t="s">
        <v>1381</v>
      </c>
      <c r="F2202" s="4" t="s">
        <v>1382</v>
      </c>
    </row>
    <row r="2203" spans="1:6" x14ac:dyDescent="0.25">
      <c r="A2203" s="4" t="str">
        <f>CONCATENATE("3071-0000-2988","")</f>
        <v>3071-0000-2988</v>
      </c>
      <c r="B2203" s="4" t="s">
        <v>1227</v>
      </c>
      <c r="C2203" s="5">
        <v>41489</v>
      </c>
      <c r="D2203" s="5">
        <v>41549</v>
      </c>
      <c r="E2203" s="4" t="s">
        <v>7</v>
      </c>
      <c r="F2203" s="4" t="s">
        <v>808</v>
      </c>
    </row>
    <row r="2204" spans="1:6" x14ac:dyDescent="0.25">
      <c r="A2204" s="4" t="str">
        <f>CONCATENATE("3071-0000-3308","")</f>
        <v>3071-0000-3308</v>
      </c>
      <c r="B2204" s="4" t="s">
        <v>1234</v>
      </c>
      <c r="C2204" s="5">
        <v>41489</v>
      </c>
      <c r="D2204" s="5">
        <v>41549</v>
      </c>
      <c r="E2204" s="4" t="s">
        <v>7</v>
      </c>
      <c r="F2204" s="4" t="s">
        <v>808</v>
      </c>
    </row>
    <row r="2205" spans="1:6" x14ac:dyDescent="0.25">
      <c r="A2205" s="4" t="str">
        <f>CONCATENATE("3071-0000-4212","")</f>
        <v>3071-0000-4212</v>
      </c>
      <c r="B2205" s="4" t="s">
        <v>4149</v>
      </c>
      <c r="C2205" s="5">
        <v>41489</v>
      </c>
      <c r="D2205" s="5">
        <v>41549</v>
      </c>
      <c r="E2205" s="4" t="s">
        <v>7</v>
      </c>
      <c r="F2205" s="4" t="s">
        <v>1419</v>
      </c>
    </row>
    <row r="2206" spans="1:6" x14ac:dyDescent="0.25">
      <c r="A2206" s="4" t="str">
        <f>CONCATENATE("3071-0000-1143","")</f>
        <v>3071-0000-1143</v>
      </c>
      <c r="B2206" s="4" t="s">
        <v>1972</v>
      </c>
      <c r="C2206" s="5">
        <v>41489</v>
      </c>
      <c r="D2206" s="5">
        <v>41549</v>
      </c>
      <c r="E2206" s="4" t="s">
        <v>1857</v>
      </c>
      <c r="F2206" s="4" t="s">
        <v>1857</v>
      </c>
    </row>
    <row r="2207" spans="1:6" x14ac:dyDescent="0.25">
      <c r="A2207" s="4" t="str">
        <f>CONCATENATE("3071-0000-0149","")</f>
        <v>3071-0000-0149</v>
      </c>
      <c r="B2207" s="4" t="s">
        <v>324</v>
      </c>
      <c r="C2207" s="5">
        <v>41489</v>
      </c>
      <c r="D2207" s="5">
        <v>41549</v>
      </c>
      <c r="E2207" s="4" t="s">
        <v>7</v>
      </c>
      <c r="F2207" s="4" t="s">
        <v>7</v>
      </c>
    </row>
    <row r="2208" spans="1:6" x14ac:dyDescent="0.25">
      <c r="A2208" s="4" t="str">
        <f>CONCATENATE("3071-0000-0511","")</f>
        <v>3071-0000-0511</v>
      </c>
      <c r="B2208" s="4" t="s">
        <v>328</v>
      </c>
      <c r="C2208" s="5">
        <v>41489</v>
      </c>
      <c r="D2208" s="5">
        <v>41549</v>
      </c>
      <c r="E2208" s="4" t="s">
        <v>7</v>
      </c>
      <c r="F2208" s="4" t="s">
        <v>273</v>
      </c>
    </row>
    <row r="2209" spans="1:6" x14ac:dyDescent="0.25">
      <c r="A2209" s="4" t="str">
        <f>CONCATENATE("3071-0000-0112","")</f>
        <v>3071-0000-0112</v>
      </c>
      <c r="B2209" s="4" t="s">
        <v>229</v>
      </c>
      <c r="C2209" s="5">
        <v>41489</v>
      </c>
      <c r="D2209" s="5">
        <v>41549</v>
      </c>
      <c r="E2209" s="4" t="s">
        <v>7</v>
      </c>
      <c r="F2209" s="4" t="s">
        <v>7</v>
      </c>
    </row>
    <row r="2210" spans="1:6" x14ac:dyDescent="0.25">
      <c r="A2210" s="4" t="str">
        <f>CONCATENATE("3071-0000-3176","")</f>
        <v>3071-0000-3176</v>
      </c>
      <c r="B2210" s="4" t="s">
        <v>1280</v>
      </c>
      <c r="C2210" s="5">
        <v>41489</v>
      </c>
      <c r="D2210" s="5">
        <v>41549</v>
      </c>
      <c r="E2210" s="4" t="s">
        <v>7</v>
      </c>
      <c r="F2210" s="4" t="s">
        <v>808</v>
      </c>
    </row>
    <row r="2211" spans="1:6" x14ac:dyDescent="0.25">
      <c r="A2211" s="4" t="str">
        <f>CONCATENATE("3071-0000-2861","")</f>
        <v>3071-0000-2861</v>
      </c>
      <c r="B2211" s="4" t="s">
        <v>1375</v>
      </c>
      <c r="C2211" s="5">
        <v>41489</v>
      </c>
      <c r="D2211" s="5">
        <v>41549</v>
      </c>
      <c r="E2211" s="4" t="s">
        <v>7</v>
      </c>
      <c r="F2211" s="4" t="s">
        <v>808</v>
      </c>
    </row>
    <row r="2212" spans="1:6" x14ac:dyDescent="0.25">
      <c r="A2212" s="4" t="str">
        <f>CONCATENATE("3071-0000-2845","")</f>
        <v>3071-0000-2845</v>
      </c>
      <c r="B2212" s="4" t="s">
        <v>1162</v>
      </c>
      <c r="C2212" s="5">
        <v>41489</v>
      </c>
      <c r="D2212" s="5">
        <v>41549</v>
      </c>
      <c r="E2212" s="4" t="s">
        <v>7</v>
      </c>
      <c r="F2212" s="4" t="s">
        <v>808</v>
      </c>
    </row>
    <row r="2213" spans="1:6" x14ac:dyDescent="0.25">
      <c r="A2213" s="4" t="str">
        <f>CONCATENATE("3071-0000-4088","")</f>
        <v>3071-0000-4088</v>
      </c>
      <c r="B2213" s="4" t="s">
        <v>3898</v>
      </c>
      <c r="C2213" s="5">
        <v>41489</v>
      </c>
      <c r="D2213" s="5">
        <v>41549</v>
      </c>
      <c r="E2213" s="4" t="s">
        <v>7</v>
      </c>
      <c r="F2213" s="4" t="s">
        <v>3818</v>
      </c>
    </row>
    <row r="2214" spans="1:6" x14ac:dyDescent="0.25">
      <c r="A2214" s="4" t="str">
        <f>CONCATENATE("3071-0000-5697","")</f>
        <v>3071-0000-5697</v>
      </c>
      <c r="B2214" s="4" t="s">
        <v>7432</v>
      </c>
      <c r="C2214" s="5">
        <v>41489</v>
      </c>
      <c r="D2214" s="5">
        <v>41549</v>
      </c>
      <c r="E2214" s="4" t="s">
        <v>5185</v>
      </c>
      <c r="F2214" s="4" t="s">
        <v>5185</v>
      </c>
    </row>
    <row r="2215" spans="1:6" x14ac:dyDescent="0.25">
      <c r="A2215" s="4" t="str">
        <f>CONCATENATE("3071-0000-5138","")</f>
        <v>3071-0000-5138</v>
      </c>
      <c r="B2215" s="4" t="s">
        <v>8963</v>
      </c>
      <c r="C2215" s="5">
        <v>41489</v>
      </c>
      <c r="D2215" s="5">
        <v>41549</v>
      </c>
      <c r="E2215" s="4" t="s">
        <v>1410</v>
      </c>
      <c r="F2215" s="4" t="s">
        <v>8903</v>
      </c>
    </row>
    <row r="2216" spans="1:6" x14ac:dyDescent="0.25">
      <c r="A2216" s="4" t="str">
        <f>CONCATENATE("3071-0000-6093","")</f>
        <v>3071-0000-6093</v>
      </c>
      <c r="B2216" s="4" t="s">
        <v>7062</v>
      </c>
      <c r="C2216" s="5">
        <v>41489</v>
      </c>
      <c r="D2216" s="5">
        <v>41549</v>
      </c>
      <c r="E2216" s="4" t="s">
        <v>1410</v>
      </c>
      <c r="F2216" s="4" t="s">
        <v>7054</v>
      </c>
    </row>
    <row r="2217" spans="1:6" x14ac:dyDescent="0.25">
      <c r="A2217" s="4" t="str">
        <f>CONCATENATE("3071-0000-4843","")</f>
        <v>3071-0000-4843</v>
      </c>
      <c r="B2217" s="4" t="s">
        <v>8699</v>
      </c>
      <c r="C2217" s="5">
        <v>41489</v>
      </c>
      <c r="D2217" s="5">
        <v>41549</v>
      </c>
      <c r="E2217" s="4" t="s">
        <v>1410</v>
      </c>
      <c r="F2217" s="4" t="s">
        <v>8696</v>
      </c>
    </row>
    <row r="2218" spans="1:6" x14ac:dyDescent="0.25">
      <c r="A2218" s="4" t="str">
        <f>CONCATENATE("3071-0000-0570","")</f>
        <v>3071-0000-0570</v>
      </c>
      <c r="B2218" s="4" t="s">
        <v>302</v>
      </c>
      <c r="C2218" s="5">
        <v>41489</v>
      </c>
      <c r="D2218" s="5">
        <v>41549</v>
      </c>
      <c r="E2218" s="4" t="s">
        <v>7</v>
      </c>
      <c r="F2218" s="4" t="s">
        <v>273</v>
      </c>
    </row>
    <row r="2219" spans="1:6" x14ac:dyDescent="0.25">
      <c r="A2219" s="4" t="str">
        <f>CONCATENATE("3071-0000-2374","")</f>
        <v>3071-0000-2374</v>
      </c>
      <c r="B2219" s="4" t="s">
        <v>3565</v>
      </c>
      <c r="C2219" s="5">
        <v>41489</v>
      </c>
      <c r="D2219" s="5">
        <v>41549</v>
      </c>
      <c r="E2219" s="4" t="s">
        <v>2944</v>
      </c>
      <c r="F2219" s="4" t="s">
        <v>3515</v>
      </c>
    </row>
    <row r="2220" spans="1:6" x14ac:dyDescent="0.25">
      <c r="A2220" s="4" t="str">
        <f>CONCATENATE("3071-0000-4901","")</f>
        <v>3071-0000-4901</v>
      </c>
      <c r="B2220" s="4" t="s">
        <v>8823</v>
      </c>
      <c r="C2220" s="5">
        <v>41489</v>
      </c>
      <c r="D2220" s="5">
        <v>41549</v>
      </c>
      <c r="E2220" s="4" t="s">
        <v>1410</v>
      </c>
      <c r="F2220" s="4" t="s">
        <v>5258</v>
      </c>
    </row>
    <row r="2221" spans="1:6" x14ac:dyDescent="0.25">
      <c r="A2221" s="4" t="str">
        <f>CONCATENATE("3071-0000-7634","")</f>
        <v>3071-0000-7634</v>
      </c>
      <c r="B2221" s="4" t="s">
        <v>5176</v>
      </c>
      <c r="C2221" s="5">
        <v>41489</v>
      </c>
      <c r="D2221" s="5">
        <v>41549</v>
      </c>
      <c r="E2221" s="4" t="s">
        <v>1410</v>
      </c>
      <c r="F2221" s="4" t="s">
        <v>4616</v>
      </c>
    </row>
    <row r="2222" spans="1:6" x14ac:dyDescent="0.25">
      <c r="A2222" s="4" t="str">
        <f>CONCATENATE("3071-0000-0319","")</f>
        <v>3071-0000-0319</v>
      </c>
      <c r="B2222" s="4" t="s">
        <v>551</v>
      </c>
      <c r="C2222" s="5">
        <v>41489</v>
      </c>
      <c r="D2222" s="5">
        <v>41549</v>
      </c>
      <c r="E2222" s="4" t="s">
        <v>7</v>
      </c>
      <c r="F2222" s="4" t="s">
        <v>7</v>
      </c>
    </row>
    <row r="2223" spans="1:6" x14ac:dyDescent="0.25">
      <c r="A2223" s="4" t="str">
        <f>CONCATENATE("3071-0000-3807","")</f>
        <v>3071-0000-3807</v>
      </c>
      <c r="B2223" s="4" t="s">
        <v>3851</v>
      </c>
      <c r="C2223" s="5">
        <v>41489</v>
      </c>
      <c r="D2223" s="5">
        <v>41549</v>
      </c>
      <c r="E2223" s="4" t="s">
        <v>7</v>
      </c>
      <c r="F2223" s="4" t="s">
        <v>3818</v>
      </c>
    </row>
    <row r="2224" spans="1:6" x14ac:dyDescent="0.25">
      <c r="A2224" s="4" t="str">
        <f>CONCATENATE("3071-0000-4879","")</f>
        <v>3071-0000-4879</v>
      </c>
      <c r="B2224" s="4" t="s">
        <v>8800</v>
      </c>
      <c r="C2224" s="5">
        <v>41489</v>
      </c>
      <c r="D2224" s="5">
        <v>41549</v>
      </c>
      <c r="E2224" s="4" t="s">
        <v>1410</v>
      </c>
      <c r="F2224" s="4" t="s">
        <v>5258</v>
      </c>
    </row>
    <row r="2225" spans="1:6" x14ac:dyDescent="0.25">
      <c r="A2225" s="4" t="str">
        <f>CONCATENATE("3071-0000-4827","")</f>
        <v>3071-0000-4827</v>
      </c>
      <c r="B2225" s="4" t="s">
        <v>8826</v>
      </c>
      <c r="C2225" s="5">
        <v>41489</v>
      </c>
      <c r="D2225" s="5">
        <v>41549</v>
      </c>
      <c r="E2225" s="4" t="s">
        <v>1410</v>
      </c>
      <c r="F2225" s="4" t="s">
        <v>8696</v>
      </c>
    </row>
    <row r="2226" spans="1:6" x14ac:dyDescent="0.25">
      <c r="A2226" s="4" t="str">
        <f>CONCATENATE("3071-0000-5139","")</f>
        <v>3071-0000-5139</v>
      </c>
      <c r="B2226" s="4" t="s">
        <v>8966</v>
      </c>
      <c r="C2226" s="5">
        <v>41489</v>
      </c>
      <c r="D2226" s="5">
        <v>41549</v>
      </c>
      <c r="E2226" s="4" t="s">
        <v>1410</v>
      </c>
      <c r="F2226" s="4" t="s">
        <v>8903</v>
      </c>
    </row>
    <row r="2227" spans="1:6" x14ac:dyDescent="0.25">
      <c r="A2227" s="4" t="str">
        <f>CONCATENATE("3071-0000-4231","")</f>
        <v>3071-0000-4231</v>
      </c>
      <c r="B2227" s="4" t="s">
        <v>8724</v>
      </c>
      <c r="C2227" s="5">
        <v>41489</v>
      </c>
      <c r="D2227" s="5">
        <v>41549</v>
      </c>
      <c r="E2227" s="4" t="s">
        <v>1410</v>
      </c>
      <c r="F2227" s="4" t="s">
        <v>8696</v>
      </c>
    </row>
    <row r="2228" spans="1:6" x14ac:dyDescent="0.25">
      <c r="A2228" s="4" t="str">
        <f>CONCATENATE("3071-0000-7672","")</f>
        <v>3071-0000-7672</v>
      </c>
      <c r="B2228" s="4" t="s">
        <v>5158</v>
      </c>
      <c r="C2228" s="5">
        <v>41489</v>
      </c>
      <c r="D2228" s="5">
        <v>41549</v>
      </c>
      <c r="E2228" s="4" t="s">
        <v>1410</v>
      </c>
      <c r="F2228" s="4" t="s">
        <v>4616</v>
      </c>
    </row>
    <row r="2229" spans="1:6" x14ac:dyDescent="0.25">
      <c r="A2229" s="4" t="str">
        <f>CONCATENATE("3071-0000-2136","")</f>
        <v>3071-0000-2136</v>
      </c>
      <c r="B2229" s="4" t="s">
        <v>3578</v>
      </c>
      <c r="C2229" s="5">
        <v>41489</v>
      </c>
      <c r="D2229" s="5">
        <v>41549</v>
      </c>
      <c r="E2229" s="4" t="s">
        <v>2944</v>
      </c>
      <c r="F2229" s="4" t="s">
        <v>2945</v>
      </c>
    </row>
    <row r="2230" spans="1:6" x14ac:dyDescent="0.25">
      <c r="A2230" s="4" t="str">
        <f>CONCATENATE("3071-0000-0614","")</f>
        <v>3071-0000-0614</v>
      </c>
      <c r="B2230" s="4" t="s">
        <v>763</v>
      </c>
      <c r="C2230" s="5">
        <v>41489</v>
      </c>
      <c r="D2230" s="5">
        <v>41549</v>
      </c>
      <c r="E2230" s="4" t="s">
        <v>7</v>
      </c>
      <c r="F2230" s="4" t="s">
        <v>7</v>
      </c>
    </row>
    <row r="2231" spans="1:6" x14ac:dyDescent="0.25">
      <c r="A2231" s="4" t="str">
        <f>CONCATENATE("3071-0000-4945","")</f>
        <v>3071-0000-4945</v>
      </c>
      <c r="B2231" s="4" t="s">
        <v>8935</v>
      </c>
      <c r="C2231" s="5">
        <v>41489</v>
      </c>
      <c r="D2231" s="5">
        <v>41549</v>
      </c>
      <c r="E2231" s="4" t="s">
        <v>1410</v>
      </c>
      <c r="F2231" s="4" t="s">
        <v>8903</v>
      </c>
    </row>
    <row r="2232" spans="1:6" x14ac:dyDescent="0.25">
      <c r="A2232" s="4" t="str">
        <f>CONCATENATE("3071-0000-5136","")</f>
        <v>3071-0000-5136</v>
      </c>
      <c r="B2232" s="4" t="s">
        <v>8965</v>
      </c>
      <c r="C2232" s="5">
        <v>41489</v>
      </c>
      <c r="D2232" s="5">
        <v>41549</v>
      </c>
      <c r="E2232" s="4" t="s">
        <v>1410</v>
      </c>
      <c r="F2232" s="4" t="s">
        <v>8903</v>
      </c>
    </row>
    <row r="2233" spans="1:6" x14ac:dyDescent="0.25">
      <c r="A2233" s="4" t="str">
        <f>CONCATENATE("3071-0000-8834","")</f>
        <v>3071-0000-8834</v>
      </c>
      <c r="B2233" s="4" t="s">
        <v>5775</v>
      </c>
      <c r="C2233" s="5">
        <v>41489</v>
      </c>
      <c r="D2233" s="5">
        <v>41549</v>
      </c>
      <c r="E2233" s="4" t="s">
        <v>5185</v>
      </c>
      <c r="F2233" s="4" t="s">
        <v>5763</v>
      </c>
    </row>
    <row r="2234" spans="1:6" x14ac:dyDescent="0.25">
      <c r="A2234" s="4" t="str">
        <f>CONCATENATE("3071-0000-0259","")</f>
        <v>3071-0000-0259</v>
      </c>
      <c r="B2234" s="4" t="s">
        <v>568</v>
      </c>
      <c r="C2234" s="5">
        <v>41489</v>
      </c>
      <c r="D2234" s="5">
        <v>41549</v>
      </c>
      <c r="E2234" s="4" t="s">
        <v>7</v>
      </c>
      <c r="F2234" s="4" t="s">
        <v>7</v>
      </c>
    </row>
    <row r="2235" spans="1:6" x14ac:dyDescent="0.25">
      <c r="A2235" s="4" t="str">
        <f>CONCATENATE("3071-0000-8904","")</f>
        <v>3071-0000-8904</v>
      </c>
      <c r="B2235" s="4" t="s">
        <v>6296</v>
      </c>
      <c r="C2235" s="5">
        <v>41489</v>
      </c>
      <c r="D2235" s="5">
        <v>41549</v>
      </c>
      <c r="E2235" s="4" t="s">
        <v>5185</v>
      </c>
      <c r="F2235" s="4" t="s">
        <v>6181</v>
      </c>
    </row>
    <row r="2236" spans="1:6" x14ac:dyDescent="0.25">
      <c r="A2236" s="4" t="str">
        <f>CONCATENATE("3071-0000-5133","")</f>
        <v>3071-0000-5133</v>
      </c>
      <c r="B2236" s="4" t="s">
        <v>8964</v>
      </c>
      <c r="C2236" s="5">
        <v>41489</v>
      </c>
      <c r="D2236" s="5">
        <v>41549</v>
      </c>
      <c r="E2236" s="4" t="s">
        <v>1410</v>
      </c>
      <c r="F2236" s="4" t="s">
        <v>8903</v>
      </c>
    </row>
    <row r="2237" spans="1:6" x14ac:dyDescent="0.25">
      <c r="A2237" s="4" t="str">
        <f>CONCATENATE("3071-0000-4995","")</f>
        <v>3071-0000-4995</v>
      </c>
      <c r="B2237" s="4" t="s">
        <v>8757</v>
      </c>
      <c r="C2237" s="5">
        <v>41489</v>
      </c>
      <c r="D2237" s="5">
        <v>41549</v>
      </c>
      <c r="E2237" s="4" t="s">
        <v>1410</v>
      </c>
      <c r="F2237" s="4" t="s">
        <v>8696</v>
      </c>
    </row>
    <row r="2238" spans="1:6" x14ac:dyDescent="0.25">
      <c r="A2238" s="4" t="str">
        <f>CONCATENATE("3071-0000-4894","")</f>
        <v>3071-0000-4894</v>
      </c>
      <c r="B2238" s="4" t="s">
        <v>8791</v>
      </c>
      <c r="C2238" s="5">
        <v>41489</v>
      </c>
      <c r="D2238" s="5">
        <v>41549</v>
      </c>
      <c r="E2238" s="4" t="s">
        <v>1410</v>
      </c>
      <c r="F2238" s="4" t="s">
        <v>5258</v>
      </c>
    </row>
    <row r="2239" spans="1:6" x14ac:dyDescent="0.25">
      <c r="A2239" s="4" t="str">
        <f>CONCATENATE("3071-0000-1504","")</f>
        <v>3071-0000-1504</v>
      </c>
      <c r="B2239" s="4" t="s">
        <v>2824</v>
      </c>
      <c r="C2239" s="5">
        <v>41489</v>
      </c>
      <c r="D2239" s="5">
        <v>41549</v>
      </c>
      <c r="E2239" s="4" t="s">
        <v>1381</v>
      </c>
      <c r="F2239" s="4" t="s">
        <v>2303</v>
      </c>
    </row>
    <row r="2240" spans="1:6" x14ac:dyDescent="0.25">
      <c r="A2240" s="4" t="str">
        <f>CONCATENATE("3071-0000-5209","")</f>
        <v>3071-0000-5209</v>
      </c>
      <c r="B2240" s="4" t="s">
        <v>8737</v>
      </c>
      <c r="C2240" s="5">
        <v>41489</v>
      </c>
      <c r="D2240" s="5">
        <v>41549</v>
      </c>
      <c r="E2240" s="4" t="s">
        <v>1410</v>
      </c>
      <c r="F2240" s="4" t="s">
        <v>8696</v>
      </c>
    </row>
    <row r="2241" spans="1:6" x14ac:dyDescent="0.25">
      <c r="A2241" s="4" t="str">
        <f>CONCATENATE("3071-0000-5804","")</f>
        <v>3071-0000-5804</v>
      </c>
      <c r="B2241" s="4" t="s">
        <v>7031</v>
      </c>
      <c r="C2241" s="5">
        <v>41489</v>
      </c>
      <c r="D2241" s="5">
        <v>41549</v>
      </c>
      <c r="E2241" s="4" t="s">
        <v>5185</v>
      </c>
      <c r="F2241" s="4" t="s">
        <v>5185</v>
      </c>
    </row>
    <row r="2242" spans="1:6" x14ac:dyDescent="0.25">
      <c r="A2242" s="4" t="str">
        <f>CONCATENATE("3071-0000-4229","")</f>
        <v>3071-0000-4229</v>
      </c>
      <c r="B2242" s="4" t="s">
        <v>8706</v>
      </c>
      <c r="C2242" s="5">
        <v>41489</v>
      </c>
      <c r="D2242" s="5">
        <v>41549</v>
      </c>
      <c r="E2242" s="4" t="s">
        <v>1410</v>
      </c>
      <c r="F2242" s="4" t="s">
        <v>8696</v>
      </c>
    </row>
    <row r="2243" spans="1:6" x14ac:dyDescent="0.25">
      <c r="A2243" s="4" t="str">
        <f>CONCATENATE("3071-0000-8085","")</f>
        <v>3071-0000-8085</v>
      </c>
      <c r="B2243" s="4" t="s">
        <v>5915</v>
      </c>
      <c r="C2243" s="5">
        <v>41489</v>
      </c>
      <c r="D2243" s="5">
        <v>41549</v>
      </c>
      <c r="E2243" s="4" t="s">
        <v>5185</v>
      </c>
      <c r="F2243" s="4" t="s">
        <v>5185</v>
      </c>
    </row>
    <row r="2244" spans="1:6" x14ac:dyDescent="0.25">
      <c r="A2244" s="4" t="str">
        <f>CONCATENATE("3071-0000-5211","")</f>
        <v>3071-0000-5211</v>
      </c>
      <c r="B2244" s="4" t="s">
        <v>8742</v>
      </c>
      <c r="C2244" s="5">
        <v>41489</v>
      </c>
      <c r="D2244" s="5">
        <v>41549</v>
      </c>
      <c r="E2244" s="4" t="s">
        <v>1410</v>
      </c>
      <c r="F2244" s="4" t="s">
        <v>8696</v>
      </c>
    </row>
    <row r="2245" spans="1:6" x14ac:dyDescent="0.25">
      <c r="A2245" s="4" t="str">
        <f>CONCATENATE("3071-0000-9606","")</f>
        <v>3071-0000-9606</v>
      </c>
      <c r="B2245" s="4" t="s">
        <v>8415</v>
      </c>
      <c r="C2245" s="5">
        <v>41489</v>
      </c>
      <c r="D2245" s="5">
        <v>41549</v>
      </c>
      <c r="E2245" s="4" t="s">
        <v>1410</v>
      </c>
      <c r="F2245" s="4" t="s">
        <v>4459</v>
      </c>
    </row>
    <row r="2246" spans="1:6" x14ac:dyDescent="0.25">
      <c r="A2246" s="4" t="str">
        <f>CONCATENATE("3071-0000-5911","")</f>
        <v>3071-0000-5911</v>
      </c>
      <c r="B2246" s="4" t="s">
        <v>7035</v>
      </c>
      <c r="C2246" s="5">
        <v>41489</v>
      </c>
      <c r="D2246" s="5">
        <v>41549</v>
      </c>
      <c r="E2246" s="4" t="s">
        <v>5185</v>
      </c>
      <c r="F2246" s="4" t="s">
        <v>5185</v>
      </c>
    </row>
    <row r="2247" spans="1:6" x14ac:dyDescent="0.25">
      <c r="A2247" s="4" t="str">
        <f>CONCATENATE("3071-0000-4983","")</f>
        <v>3071-0000-4983</v>
      </c>
      <c r="B2247" s="4" t="s">
        <v>8865</v>
      </c>
      <c r="C2247" s="5">
        <v>41489</v>
      </c>
      <c r="D2247" s="5">
        <v>41549</v>
      </c>
      <c r="E2247" s="4" t="s">
        <v>1410</v>
      </c>
      <c r="F2247" s="4" t="s">
        <v>8851</v>
      </c>
    </row>
    <row r="2248" spans="1:6" x14ac:dyDescent="0.25">
      <c r="A2248" s="4" t="str">
        <f>CONCATENATE("3071-0000-0327","")</f>
        <v>3071-0000-0327</v>
      </c>
      <c r="B2248" s="4" t="s">
        <v>95</v>
      </c>
      <c r="C2248" s="5">
        <v>41489</v>
      </c>
      <c r="D2248" s="5">
        <v>41549</v>
      </c>
      <c r="E2248" s="4" t="s">
        <v>7</v>
      </c>
      <c r="F2248" s="4" t="s">
        <v>7</v>
      </c>
    </row>
    <row r="2249" spans="1:6" x14ac:dyDescent="0.25">
      <c r="A2249" s="4" t="str">
        <f>CONCATENATE("3071-0000-7282","")</f>
        <v>3071-0000-7282</v>
      </c>
      <c r="B2249" s="4" t="s">
        <v>5140</v>
      </c>
      <c r="C2249" s="5">
        <v>41489</v>
      </c>
      <c r="D2249" s="5">
        <v>41549</v>
      </c>
      <c r="E2249" s="4" t="s">
        <v>1410</v>
      </c>
      <c r="F2249" s="4" t="s">
        <v>1410</v>
      </c>
    </row>
    <row r="2250" spans="1:6" x14ac:dyDescent="0.25">
      <c r="A2250" s="4" t="str">
        <f>CONCATENATE("3071-0000-7172","")</f>
        <v>3071-0000-7172</v>
      </c>
      <c r="B2250" s="4" t="s">
        <v>5066</v>
      </c>
      <c r="C2250" s="5">
        <v>41489</v>
      </c>
      <c r="D2250" s="5">
        <v>41549</v>
      </c>
      <c r="E2250" s="4" t="s">
        <v>1410</v>
      </c>
      <c r="F2250" s="4" t="s">
        <v>1410</v>
      </c>
    </row>
    <row r="2251" spans="1:6" x14ac:dyDescent="0.25">
      <c r="A2251" s="4" t="str">
        <f>CONCATENATE("3071-0000-7927","")</f>
        <v>3071-0000-7927</v>
      </c>
      <c r="B2251" s="4" t="s">
        <v>5555</v>
      </c>
      <c r="C2251" s="5">
        <v>41489</v>
      </c>
      <c r="D2251" s="5">
        <v>41549</v>
      </c>
      <c r="E2251" s="4" t="s">
        <v>5185</v>
      </c>
      <c r="F2251" s="4" t="s">
        <v>5185</v>
      </c>
    </row>
    <row r="2252" spans="1:6" x14ac:dyDescent="0.25">
      <c r="A2252" s="4" t="str">
        <f>CONCATENATE("3071-0000-7948","")</f>
        <v>3071-0000-7948</v>
      </c>
      <c r="B2252" s="4" t="s">
        <v>5585</v>
      </c>
      <c r="C2252" s="5">
        <v>41489</v>
      </c>
      <c r="D2252" s="5">
        <v>41549</v>
      </c>
      <c r="E2252" s="4" t="s">
        <v>5185</v>
      </c>
      <c r="F2252" s="4" t="s">
        <v>5185</v>
      </c>
    </row>
    <row r="2253" spans="1:6" x14ac:dyDescent="0.25">
      <c r="A2253" s="4" t="str">
        <f>CONCATENATE("3071-0000-3785","")</f>
        <v>3071-0000-3785</v>
      </c>
      <c r="B2253" s="4" t="s">
        <v>3825</v>
      </c>
      <c r="C2253" s="5">
        <v>41489</v>
      </c>
      <c r="D2253" s="5">
        <v>41549</v>
      </c>
      <c r="E2253" s="4" t="s">
        <v>7</v>
      </c>
      <c r="F2253" s="4" t="s">
        <v>3818</v>
      </c>
    </row>
    <row r="2254" spans="1:6" x14ac:dyDescent="0.25">
      <c r="A2254" s="4" t="str">
        <f>CONCATENATE("3071-0000-1620","")</f>
        <v>3071-0000-1620</v>
      </c>
      <c r="B2254" s="4" t="s">
        <v>2492</v>
      </c>
      <c r="C2254" s="5">
        <v>41489</v>
      </c>
      <c r="D2254" s="5">
        <v>41549</v>
      </c>
      <c r="E2254" s="4" t="s">
        <v>1381</v>
      </c>
      <c r="F2254" s="4" t="s">
        <v>2303</v>
      </c>
    </row>
    <row r="2255" spans="1:6" x14ac:dyDescent="0.25">
      <c r="A2255" s="4" t="str">
        <f>CONCATENATE("3071-0000-5767","")</f>
        <v>3071-0000-5767</v>
      </c>
      <c r="B2255" s="4" t="s">
        <v>7024</v>
      </c>
      <c r="C2255" s="5">
        <v>41489</v>
      </c>
      <c r="D2255" s="5">
        <v>41549</v>
      </c>
      <c r="E2255" s="4" t="s">
        <v>5185</v>
      </c>
      <c r="F2255" s="4" t="s">
        <v>5185</v>
      </c>
    </row>
    <row r="2256" spans="1:6" x14ac:dyDescent="0.25">
      <c r="A2256" s="4" t="str">
        <f>CONCATENATE("3071-0000-0653","")</f>
        <v>3071-0000-0653</v>
      </c>
      <c r="B2256" s="4" t="s">
        <v>794</v>
      </c>
      <c r="C2256" s="5">
        <v>41489</v>
      </c>
      <c r="D2256" s="5">
        <v>41549</v>
      </c>
      <c r="E2256" s="4" t="s">
        <v>7</v>
      </c>
      <c r="F2256" s="4" t="s">
        <v>7</v>
      </c>
    </row>
    <row r="2257" spans="1:6" x14ac:dyDescent="0.25">
      <c r="A2257" s="4" t="str">
        <f>CONCATENATE("3071-0000-7248","")</f>
        <v>3071-0000-7248</v>
      </c>
      <c r="B2257" s="4" t="s">
        <v>4938</v>
      </c>
      <c r="C2257" s="5">
        <v>41489</v>
      </c>
      <c r="D2257" s="5">
        <v>41549</v>
      </c>
      <c r="E2257" s="4" t="s">
        <v>1410</v>
      </c>
      <c r="F2257" s="4" t="s">
        <v>1410</v>
      </c>
    </row>
    <row r="2258" spans="1:6" x14ac:dyDescent="0.25">
      <c r="A2258" s="4" t="str">
        <f>CONCATENATE("3071-0000-4857","")</f>
        <v>3071-0000-4857</v>
      </c>
      <c r="B2258" s="4" t="s">
        <v>8829</v>
      </c>
      <c r="C2258" s="5">
        <v>41489</v>
      </c>
      <c r="D2258" s="5">
        <v>41549</v>
      </c>
      <c r="E2258" s="4" t="s">
        <v>1410</v>
      </c>
      <c r="F2258" s="4" t="s">
        <v>5258</v>
      </c>
    </row>
    <row r="2259" spans="1:6" x14ac:dyDescent="0.25">
      <c r="A2259" s="4" t="str">
        <f>CONCATENATE("3071-0000-2696","")</f>
        <v>3071-0000-2696</v>
      </c>
      <c r="B2259" s="4" t="s">
        <v>3317</v>
      </c>
      <c r="C2259" s="5">
        <v>41489</v>
      </c>
      <c r="D2259" s="5">
        <v>41549</v>
      </c>
      <c r="E2259" s="4" t="s">
        <v>1857</v>
      </c>
      <c r="F2259" s="4" t="s">
        <v>3306</v>
      </c>
    </row>
    <row r="2260" spans="1:6" x14ac:dyDescent="0.25">
      <c r="A2260" s="4" t="str">
        <f>CONCATENATE("3071-0000-2106","")</f>
        <v>3071-0000-2106</v>
      </c>
      <c r="B2260" s="4" t="s">
        <v>3498</v>
      </c>
      <c r="C2260" s="5">
        <v>41489</v>
      </c>
      <c r="D2260" s="5">
        <v>41549</v>
      </c>
      <c r="E2260" s="4" t="s">
        <v>2944</v>
      </c>
      <c r="F2260" s="4" t="s">
        <v>2945</v>
      </c>
    </row>
    <row r="2261" spans="1:6" x14ac:dyDescent="0.25">
      <c r="A2261" s="4" t="str">
        <f>CONCATENATE("3071-0000-6260","")</f>
        <v>3071-0000-6260</v>
      </c>
      <c r="B2261" s="4" t="s">
        <v>6929</v>
      </c>
      <c r="C2261" s="5">
        <v>41489</v>
      </c>
      <c r="D2261" s="5">
        <v>41549</v>
      </c>
      <c r="E2261" s="4" t="s">
        <v>1410</v>
      </c>
      <c r="F2261" s="4" t="s">
        <v>4616</v>
      </c>
    </row>
    <row r="2262" spans="1:6" x14ac:dyDescent="0.25">
      <c r="A2262" s="4" t="str">
        <f>CONCATENATE("3071-0000-5134","")</f>
        <v>3071-0000-5134</v>
      </c>
      <c r="B2262" s="4" t="s">
        <v>8957</v>
      </c>
      <c r="C2262" s="5">
        <v>41489</v>
      </c>
      <c r="D2262" s="5">
        <v>41549</v>
      </c>
      <c r="E2262" s="4" t="s">
        <v>1410</v>
      </c>
      <c r="F2262" s="4" t="s">
        <v>8903</v>
      </c>
    </row>
    <row r="2263" spans="1:6" x14ac:dyDescent="0.25">
      <c r="A2263" s="4" t="str">
        <f>CONCATENATE("3071-0000-4299","")</f>
        <v>3071-0000-4299</v>
      </c>
      <c r="B2263" s="4" t="s">
        <v>8925</v>
      </c>
      <c r="C2263" s="5">
        <v>41489</v>
      </c>
      <c r="D2263" s="5">
        <v>41549</v>
      </c>
      <c r="E2263" s="4" t="s">
        <v>1410</v>
      </c>
      <c r="F2263" s="4" t="s">
        <v>8696</v>
      </c>
    </row>
    <row r="2264" spans="1:6" x14ac:dyDescent="0.25">
      <c r="A2264" s="4" t="str">
        <f>CONCATENATE("3071-0000-5121","")</f>
        <v>3071-0000-5121</v>
      </c>
      <c r="B2264" s="4" t="s">
        <v>8960</v>
      </c>
      <c r="C2264" s="5">
        <v>41489</v>
      </c>
      <c r="D2264" s="5">
        <v>41549</v>
      </c>
      <c r="E2264" s="4" t="s">
        <v>1410</v>
      </c>
      <c r="F2264" s="4" t="s">
        <v>8903</v>
      </c>
    </row>
    <row r="2265" spans="1:6" x14ac:dyDescent="0.25">
      <c r="A2265" s="4" t="str">
        <f>CONCATENATE("3071-0000-7608","")</f>
        <v>3071-0000-7608</v>
      </c>
      <c r="B2265" s="4" t="s">
        <v>4550</v>
      </c>
      <c r="C2265" s="5">
        <v>41489</v>
      </c>
      <c r="D2265" s="5">
        <v>41549</v>
      </c>
      <c r="E2265" s="4" t="s">
        <v>1410</v>
      </c>
      <c r="F2265" s="4" t="s">
        <v>1410</v>
      </c>
    </row>
    <row r="2266" spans="1:6" x14ac:dyDescent="0.25">
      <c r="A2266" s="4" t="str">
        <f>CONCATENATE("3071-0000-4284","")</f>
        <v>3071-0000-4284</v>
      </c>
      <c r="B2266" s="4" t="s">
        <v>8888</v>
      </c>
      <c r="C2266" s="5">
        <v>41489</v>
      </c>
      <c r="D2266" s="5">
        <v>41549</v>
      </c>
      <c r="E2266" s="4" t="s">
        <v>1410</v>
      </c>
      <c r="F2266" s="4" t="s">
        <v>8696</v>
      </c>
    </row>
    <row r="2267" spans="1:6" x14ac:dyDescent="0.25">
      <c r="A2267" s="4" t="str">
        <f>CONCATENATE("3071-0000-5060","")</f>
        <v>3071-0000-5060</v>
      </c>
      <c r="B2267" s="4" t="s">
        <v>8825</v>
      </c>
      <c r="C2267" s="5">
        <v>41489</v>
      </c>
      <c r="D2267" s="5">
        <v>41549</v>
      </c>
      <c r="E2267" s="4" t="s">
        <v>1410</v>
      </c>
      <c r="F2267" s="4" t="s">
        <v>5258</v>
      </c>
    </row>
    <row r="2268" spans="1:6" x14ac:dyDescent="0.25">
      <c r="A2268" s="4" t="str">
        <f>CONCATENATE("3071-0000-2328","")</f>
        <v>3071-0000-2328</v>
      </c>
      <c r="B2268" s="4" t="s">
        <v>3420</v>
      </c>
      <c r="C2268" s="5">
        <v>41489</v>
      </c>
      <c r="D2268" s="5">
        <v>41549</v>
      </c>
      <c r="E2268" s="4" t="s">
        <v>2944</v>
      </c>
      <c r="F2268" s="4" t="s">
        <v>2945</v>
      </c>
    </row>
    <row r="2269" spans="1:6" x14ac:dyDescent="0.25">
      <c r="A2269" s="4" t="str">
        <f>CONCATENATE("3071-0000-2667","")</f>
        <v>3071-0000-2667</v>
      </c>
      <c r="B2269" s="4" t="s">
        <v>3375</v>
      </c>
      <c r="C2269" s="5">
        <v>41489</v>
      </c>
      <c r="D2269" s="5">
        <v>41549</v>
      </c>
      <c r="E2269" s="4" t="s">
        <v>1857</v>
      </c>
      <c r="F2269" s="4" t="s">
        <v>3306</v>
      </c>
    </row>
    <row r="2270" spans="1:6" x14ac:dyDescent="0.25">
      <c r="A2270" s="4" t="str">
        <f>CONCATENATE("3071-0000-2729","")</f>
        <v>3071-0000-2729</v>
      </c>
      <c r="B2270" s="4" t="s">
        <v>3390</v>
      </c>
      <c r="C2270" s="5">
        <v>41489</v>
      </c>
      <c r="D2270" s="5">
        <v>41549</v>
      </c>
      <c r="E2270" s="4" t="s">
        <v>1857</v>
      </c>
      <c r="F2270" s="4" t="s">
        <v>3306</v>
      </c>
    </row>
    <row r="2271" spans="1:6" x14ac:dyDescent="0.25">
      <c r="A2271" s="4" t="str">
        <f>CONCATENATE("3071-0000-2529","")</f>
        <v>3071-0000-2529</v>
      </c>
      <c r="B2271" s="4" t="s">
        <v>3406</v>
      </c>
      <c r="C2271" s="5">
        <v>41489</v>
      </c>
      <c r="D2271" s="5">
        <v>41549</v>
      </c>
      <c r="E2271" s="4" t="s">
        <v>1857</v>
      </c>
      <c r="F2271" s="4" t="s">
        <v>3306</v>
      </c>
    </row>
    <row r="2272" spans="1:6" x14ac:dyDescent="0.25">
      <c r="A2272" s="4" t="str">
        <f>CONCATENATE("3071-0000-2664","")</f>
        <v>3071-0000-2664</v>
      </c>
      <c r="B2272" s="4" t="s">
        <v>3389</v>
      </c>
      <c r="C2272" s="5">
        <v>41489</v>
      </c>
      <c r="D2272" s="5">
        <v>41549</v>
      </c>
      <c r="E2272" s="4" t="s">
        <v>1857</v>
      </c>
      <c r="F2272" s="4" t="s">
        <v>3306</v>
      </c>
    </row>
    <row r="2273" spans="1:6" x14ac:dyDescent="0.25">
      <c r="A2273" s="4" t="str">
        <f>CONCATENATE("3071-0000-2450","")</f>
        <v>3071-0000-2450</v>
      </c>
      <c r="B2273" s="4" t="s">
        <v>3432</v>
      </c>
      <c r="C2273" s="5">
        <v>41489</v>
      </c>
      <c r="D2273" s="5">
        <v>41549</v>
      </c>
      <c r="E2273" s="4" t="s">
        <v>1857</v>
      </c>
      <c r="F2273" s="4" t="s">
        <v>3306</v>
      </c>
    </row>
    <row r="2274" spans="1:6" x14ac:dyDescent="0.25">
      <c r="A2274" s="4" t="str">
        <f>CONCATENATE("3071-0000-2677","")</f>
        <v>3071-0000-2677</v>
      </c>
      <c r="B2274" s="4" t="s">
        <v>3385</v>
      </c>
      <c r="C2274" s="5">
        <v>41489</v>
      </c>
      <c r="D2274" s="5">
        <v>41549</v>
      </c>
      <c r="E2274" s="4" t="s">
        <v>1857</v>
      </c>
      <c r="F2274" s="4" t="s">
        <v>3306</v>
      </c>
    </row>
    <row r="2275" spans="1:6" x14ac:dyDescent="0.25">
      <c r="A2275" s="4" t="str">
        <f>CONCATENATE("3071-0000-2244","")</f>
        <v>3071-0000-2244</v>
      </c>
      <c r="B2275" s="4" t="s">
        <v>3327</v>
      </c>
      <c r="C2275" s="5">
        <v>41489</v>
      </c>
      <c r="D2275" s="5">
        <v>41549</v>
      </c>
      <c r="E2275" s="4" t="s">
        <v>2944</v>
      </c>
      <c r="F2275" s="4" t="s">
        <v>2945</v>
      </c>
    </row>
    <row r="2276" spans="1:6" x14ac:dyDescent="0.25">
      <c r="A2276" s="4" t="str">
        <f>CONCATENATE("3071-0000-2053","")</f>
        <v>3071-0000-2053</v>
      </c>
      <c r="B2276" s="4" t="s">
        <v>3405</v>
      </c>
      <c r="C2276" s="5">
        <v>41489</v>
      </c>
      <c r="D2276" s="5">
        <v>41549</v>
      </c>
      <c r="E2276" s="4" t="s">
        <v>2944</v>
      </c>
      <c r="F2276" s="4" t="s">
        <v>2945</v>
      </c>
    </row>
    <row r="2277" spans="1:6" x14ac:dyDescent="0.25">
      <c r="A2277" s="4" t="str">
        <f>CONCATENATE("3071-0000-2662","")</f>
        <v>3071-0000-2662</v>
      </c>
      <c r="B2277" s="4" t="s">
        <v>3429</v>
      </c>
      <c r="C2277" s="5">
        <v>41489</v>
      </c>
      <c r="D2277" s="5">
        <v>41549</v>
      </c>
      <c r="E2277" s="4" t="s">
        <v>1857</v>
      </c>
      <c r="F2277" s="4" t="s">
        <v>3306</v>
      </c>
    </row>
    <row r="2278" spans="1:6" x14ac:dyDescent="0.25">
      <c r="A2278" s="4" t="str">
        <f>CONCATENATE("3071-0000-2054","")</f>
        <v>3071-0000-2054</v>
      </c>
      <c r="B2278" s="4" t="s">
        <v>3400</v>
      </c>
      <c r="C2278" s="5">
        <v>41489</v>
      </c>
      <c r="D2278" s="5">
        <v>41549</v>
      </c>
      <c r="E2278" s="4" t="s">
        <v>1857</v>
      </c>
      <c r="F2278" s="4" t="s">
        <v>3306</v>
      </c>
    </row>
    <row r="2279" spans="1:6" x14ac:dyDescent="0.25">
      <c r="A2279" s="4" t="str">
        <f>CONCATENATE("3071-0000-9382","")</f>
        <v>3071-0000-9382</v>
      </c>
      <c r="B2279" s="4" t="s">
        <v>8479</v>
      </c>
      <c r="C2279" s="5">
        <v>41489</v>
      </c>
      <c r="D2279" s="5">
        <v>41549</v>
      </c>
      <c r="E2279" s="4" t="s">
        <v>1410</v>
      </c>
      <c r="F2279" s="4" t="s">
        <v>4459</v>
      </c>
    </row>
    <row r="2280" spans="1:6" x14ac:dyDescent="0.25">
      <c r="A2280" s="4" t="str">
        <f>CONCATENATE("3071-0000-9015","")</f>
        <v>3071-0000-9015</v>
      </c>
      <c r="B2280" s="4" t="s">
        <v>6558</v>
      </c>
      <c r="C2280" s="5">
        <v>41489</v>
      </c>
      <c r="D2280" s="5">
        <v>41549</v>
      </c>
      <c r="E2280" s="4" t="s">
        <v>5185</v>
      </c>
      <c r="F2280" s="4" t="s">
        <v>5292</v>
      </c>
    </row>
    <row r="2281" spans="1:6" x14ac:dyDescent="0.25">
      <c r="A2281" s="4" t="str">
        <f>CONCATENATE("3071-0000-0220","")</f>
        <v>3071-0000-0220</v>
      </c>
      <c r="B2281" s="4" t="s">
        <v>468</v>
      </c>
      <c r="C2281" s="5">
        <v>41489</v>
      </c>
      <c r="D2281" s="5">
        <v>41549</v>
      </c>
      <c r="E2281" s="4" t="s">
        <v>7</v>
      </c>
      <c r="F2281" s="4" t="s">
        <v>7</v>
      </c>
    </row>
    <row r="2282" spans="1:6" x14ac:dyDescent="0.25">
      <c r="A2282" s="4" t="str">
        <f>CONCATENATE("3071-0000-1951","")</f>
        <v>3071-0000-1951</v>
      </c>
      <c r="B2282" s="4" t="s">
        <v>3061</v>
      </c>
      <c r="C2282" s="5">
        <v>41489</v>
      </c>
      <c r="D2282" s="5">
        <v>41549</v>
      </c>
      <c r="E2282" s="4" t="s">
        <v>2944</v>
      </c>
      <c r="F2282" s="4" t="s">
        <v>2945</v>
      </c>
    </row>
    <row r="2283" spans="1:6" x14ac:dyDescent="0.25">
      <c r="A2283" s="4" t="str">
        <f>CONCATENATE("3071-0000-5718","")</f>
        <v>3071-0000-5718</v>
      </c>
      <c r="B2283" s="4" t="s">
        <v>6992</v>
      </c>
      <c r="C2283" s="5">
        <v>41489</v>
      </c>
      <c r="D2283" s="5">
        <v>41549</v>
      </c>
      <c r="E2283" s="4" t="s">
        <v>5185</v>
      </c>
      <c r="F2283" s="4" t="s">
        <v>5185</v>
      </c>
    </row>
    <row r="2284" spans="1:6" x14ac:dyDescent="0.25">
      <c r="A2284" s="4" t="str">
        <f>CONCATENATE("3071-0000-6218","")</f>
        <v>3071-0000-6218</v>
      </c>
      <c r="B2284" s="4" t="s">
        <v>7050</v>
      </c>
      <c r="C2284" s="5">
        <v>41489</v>
      </c>
      <c r="D2284" s="5">
        <v>41549</v>
      </c>
      <c r="E2284" s="4" t="s">
        <v>1410</v>
      </c>
      <c r="F2284" s="4" t="s">
        <v>6798</v>
      </c>
    </row>
    <row r="2285" spans="1:6" x14ac:dyDescent="0.25">
      <c r="A2285" s="4" t="str">
        <f>CONCATENATE("3071-0000-7612","")</f>
        <v>3071-0000-7612</v>
      </c>
      <c r="B2285" s="4" t="s">
        <v>4864</v>
      </c>
      <c r="C2285" s="5">
        <v>41489</v>
      </c>
      <c r="D2285" s="5">
        <v>41549</v>
      </c>
      <c r="E2285" s="4" t="s">
        <v>1410</v>
      </c>
      <c r="F2285" s="4" t="s">
        <v>4655</v>
      </c>
    </row>
    <row r="2286" spans="1:6" x14ac:dyDescent="0.25">
      <c r="A2286" s="4" t="str">
        <f>CONCATENATE("3071-0000-4696","")</f>
        <v>3071-0000-4696</v>
      </c>
      <c r="B2286" s="4" t="s">
        <v>9634</v>
      </c>
      <c r="C2286" s="5">
        <v>41489</v>
      </c>
      <c r="D2286" s="5">
        <v>41549</v>
      </c>
      <c r="E2286" s="4" t="s">
        <v>1410</v>
      </c>
      <c r="F2286" s="4" t="s">
        <v>8696</v>
      </c>
    </row>
    <row r="2287" spans="1:6" x14ac:dyDescent="0.25">
      <c r="A2287" s="4" t="str">
        <f>CONCATENATE("3071-0000-5855","")</f>
        <v>3071-0000-5855</v>
      </c>
      <c r="B2287" s="4" t="s">
        <v>7387</v>
      </c>
      <c r="C2287" s="5">
        <v>41489</v>
      </c>
      <c r="D2287" s="5">
        <v>41549</v>
      </c>
      <c r="E2287" s="4" t="s">
        <v>1410</v>
      </c>
      <c r="F2287" s="4" t="s">
        <v>7309</v>
      </c>
    </row>
    <row r="2288" spans="1:6" x14ac:dyDescent="0.25">
      <c r="A2288" s="4" t="str">
        <f>CONCATENATE("3071-0000-5727","")</f>
        <v>3071-0000-5727</v>
      </c>
      <c r="B2288" s="4" t="s">
        <v>7441</v>
      </c>
      <c r="C2288" s="5">
        <v>41489</v>
      </c>
      <c r="D2288" s="5">
        <v>41549</v>
      </c>
      <c r="E2288" s="4" t="s">
        <v>5185</v>
      </c>
      <c r="F2288" s="4" t="s">
        <v>5185</v>
      </c>
    </row>
    <row r="2289" spans="1:6" x14ac:dyDescent="0.25">
      <c r="A2289" s="4" t="str">
        <f>CONCATENATE("3071-0000-6204","")</f>
        <v>3071-0000-6204</v>
      </c>
      <c r="B2289" s="4" t="s">
        <v>7328</v>
      </c>
      <c r="C2289" s="5">
        <v>41489</v>
      </c>
      <c r="D2289" s="5">
        <v>41549</v>
      </c>
      <c r="E2289" s="4" t="s">
        <v>1410</v>
      </c>
      <c r="F2289" s="4" t="s">
        <v>7309</v>
      </c>
    </row>
    <row r="2290" spans="1:6" x14ac:dyDescent="0.25">
      <c r="A2290" s="4" t="str">
        <f>CONCATENATE("3071-0000-7329","")</f>
        <v>3071-0000-7329</v>
      </c>
      <c r="B2290" s="4" t="s">
        <v>4465</v>
      </c>
      <c r="C2290" s="5">
        <v>41489</v>
      </c>
      <c r="D2290" s="5">
        <v>41549</v>
      </c>
      <c r="E2290" s="4" t="s">
        <v>1410</v>
      </c>
      <c r="F2290" s="4" t="s">
        <v>1410</v>
      </c>
    </row>
    <row r="2291" spans="1:6" x14ac:dyDescent="0.25">
      <c r="A2291" s="4" t="str">
        <f>CONCATENATE("3071-0000-7415","")</f>
        <v>3071-0000-7415</v>
      </c>
      <c r="B2291" s="4" t="s">
        <v>4466</v>
      </c>
      <c r="C2291" s="5">
        <v>41489</v>
      </c>
      <c r="D2291" s="5">
        <v>41549</v>
      </c>
      <c r="E2291" s="4" t="s">
        <v>1410</v>
      </c>
      <c r="F2291" s="4" t="s">
        <v>1410</v>
      </c>
    </row>
    <row r="2292" spans="1:6" x14ac:dyDescent="0.25">
      <c r="A2292" s="4" t="str">
        <f>CONCATENATE("3071-0000-7526","")</f>
        <v>3071-0000-7526</v>
      </c>
      <c r="B2292" s="4" t="s">
        <v>4575</v>
      </c>
      <c r="C2292" s="5">
        <v>41489</v>
      </c>
      <c r="D2292" s="5">
        <v>41549</v>
      </c>
      <c r="E2292" s="4" t="s">
        <v>1410</v>
      </c>
      <c r="F2292" s="4" t="s">
        <v>1410</v>
      </c>
    </row>
    <row r="2293" spans="1:6" x14ac:dyDescent="0.25">
      <c r="A2293" s="4" t="str">
        <f>CONCATENATE("3071-0000-5837","")</f>
        <v>3071-0000-5837</v>
      </c>
      <c r="B2293" s="4" t="s">
        <v>7326</v>
      </c>
      <c r="C2293" s="5">
        <v>41489</v>
      </c>
      <c r="D2293" s="5">
        <v>41549</v>
      </c>
      <c r="E2293" s="4" t="s">
        <v>5185</v>
      </c>
      <c r="F2293" s="4" t="s">
        <v>5185</v>
      </c>
    </row>
    <row r="2294" spans="1:6" x14ac:dyDescent="0.25">
      <c r="A2294" s="4" t="str">
        <f>CONCATENATE("3071-0000-5847","")</f>
        <v>3071-0000-5847</v>
      </c>
      <c r="B2294" s="4" t="s">
        <v>7353</v>
      </c>
      <c r="C2294" s="5">
        <v>41489</v>
      </c>
      <c r="D2294" s="5">
        <v>41549</v>
      </c>
      <c r="E2294" s="4" t="s">
        <v>5185</v>
      </c>
      <c r="F2294" s="4" t="s">
        <v>5185</v>
      </c>
    </row>
    <row r="2295" spans="1:6" x14ac:dyDescent="0.25">
      <c r="A2295" s="4" t="str">
        <f>CONCATENATE("3071-0000-5853","")</f>
        <v>3071-0000-5853</v>
      </c>
      <c r="B2295" s="4" t="s">
        <v>7371</v>
      </c>
      <c r="C2295" s="5">
        <v>41489</v>
      </c>
      <c r="D2295" s="5">
        <v>41549</v>
      </c>
      <c r="E2295" s="4" t="s">
        <v>1410</v>
      </c>
      <c r="F2295" s="4" t="s">
        <v>7309</v>
      </c>
    </row>
    <row r="2296" spans="1:6" x14ac:dyDescent="0.25">
      <c r="A2296" s="4" t="str">
        <f>CONCATENATE("3071-0000-2330","")</f>
        <v>3071-0000-2330</v>
      </c>
      <c r="B2296" s="4" t="s">
        <v>3157</v>
      </c>
      <c r="C2296" s="5">
        <v>41489</v>
      </c>
      <c r="D2296" s="5">
        <v>41549</v>
      </c>
      <c r="E2296" s="4" t="s">
        <v>2944</v>
      </c>
      <c r="F2296" s="4" t="s">
        <v>2945</v>
      </c>
    </row>
    <row r="2297" spans="1:6" x14ac:dyDescent="0.25">
      <c r="A2297" s="4" t="str">
        <f>CONCATENATE("3071-0000-0738","")</f>
        <v>3071-0000-0738</v>
      </c>
      <c r="B2297" s="4" t="s">
        <v>713</v>
      </c>
      <c r="C2297" s="5">
        <v>41489</v>
      </c>
      <c r="D2297" s="5">
        <v>41549</v>
      </c>
      <c r="E2297" s="4" t="s">
        <v>7</v>
      </c>
      <c r="F2297" s="4" t="s">
        <v>7</v>
      </c>
    </row>
    <row r="2298" spans="1:6" x14ac:dyDescent="0.25">
      <c r="A2298" s="4" t="str">
        <f>CONCATENATE("3071-0000-2771","")</f>
        <v>3071-0000-2771</v>
      </c>
      <c r="B2298" s="4" t="s">
        <v>912</v>
      </c>
      <c r="C2298" s="5">
        <v>41489</v>
      </c>
      <c r="D2298" s="5">
        <v>41549</v>
      </c>
      <c r="E2298" s="4" t="s">
        <v>7</v>
      </c>
      <c r="F2298" s="4" t="s">
        <v>808</v>
      </c>
    </row>
    <row r="2299" spans="1:6" x14ac:dyDescent="0.25">
      <c r="A2299" s="4" t="str">
        <f>CONCATENATE("3071-0000-0737","")</f>
        <v>3071-0000-0737</v>
      </c>
      <c r="B2299" s="4" t="s">
        <v>712</v>
      </c>
      <c r="C2299" s="5">
        <v>41489</v>
      </c>
      <c r="D2299" s="5">
        <v>41549</v>
      </c>
      <c r="E2299" s="4" t="s">
        <v>7</v>
      </c>
      <c r="F2299" s="4" t="s">
        <v>7</v>
      </c>
    </row>
    <row r="2300" spans="1:6" x14ac:dyDescent="0.25">
      <c r="A2300" s="4" t="str">
        <f>CONCATENATE("3071-0000-2332","")</f>
        <v>3071-0000-2332</v>
      </c>
      <c r="B2300" s="4" t="s">
        <v>3156</v>
      </c>
      <c r="C2300" s="5">
        <v>41489</v>
      </c>
      <c r="D2300" s="5">
        <v>41549</v>
      </c>
      <c r="E2300" s="4" t="s">
        <v>2944</v>
      </c>
      <c r="F2300" s="4" t="s">
        <v>2945</v>
      </c>
    </row>
    <row r="2301" spans="1:6" x14ac:dyDescent="0.25">
      <c r="A2301" s="4" t="str">
        <f>CONCATENATE("3071-0000-2468","")</f>
        <v>3071-0000-2468</v>
      </c>
      <c r="B2301" s="4" t="s">
        <v>3797</v>
      </c>
      <c r="C2301" s="5">
        <v>41489</v>
      </c>
      <c r="D2301" s="5">
        <v>41549</v>
      </c>
      <c r="E2301" s="4" t="s">
        <v>2944</v>
      </c>
      <c r="F2301" s="4" t="s">
        <v>3115</v>
      </c>
    </row>
    <row r="2302" spans="1:6" x14ac:dyDescent="0.25">
      <c r="A2302" s="4" t="str">
        <f>CONCATENATE("3071-0000-2452","")</f>
        <v>3071-0000-2452</v>
      </c>
      <c r="B2302" s="4" t="s">
        <v>3510</v>
      </c>
      <c r="C2302" s="5">
        <v>41489</v>
      </c>
      <c r="D2302" s="5">
        <v>41549</v>
      </c>
      <c r="E2302" s="4" t="s">
        <v>2944</v>
      </c>
      <c r="F2302" s="4" t="s">
        <v>3434</v>
      </c>
    </row>
    <row r="2303" spans="1:6" x14ac:dyDescent="0.25">
      <c r="A2303" s="4" t="str">
        <f>CONCATENATE("3071-0000-2333","")</f>
        <v>3071-0000-2333</v>
      </c>
      <c r="B2303" s="4" t="s">
        <v>3161</v>
      </c>
      <c r="C2303" s="5">
        <v>41489</v>
      </c>
      <c r="D2303" s="5">
        <v>41549</v>
      </c>
      <c r="E2303" s="4" t="s">
        <v>2944</v>
      </c>
      <c r="F2303" s="4" t="s">
        <v>2945</v>
      </c>
    </row>
    <row r="2304" spans="1:6" x14ac:dyDescent="0.25">
      <c r="A2304" s="4" t="str">
        <f>CONCATENATE("3071-0000-0088","")</f>
        <v>3071-0000-0088</v>
      </c>
      <c r="B2304" s="4" t="s">
        <v>171</v>
      </c>
      <c r="C2304" s="5">
        <v>41489</v>
      </c>
      <c r="D2304" s="5">
        <v>41549</v>
      </c>
      <c r="E2304" s="4" t="s">
        <v>7</v>
      </c>
      <c r="F2304" s="4" t="s">
        <v>7</v>
      </c>
    </row>
    <row r="2305" spans="1:6" x14ac:dyDescent="0.25">
      <c r="A2305" s="4" t="str">
        <f>CONCATENATE("3071-0000-2954","")</f>
        <v>3071-0000-2954</v>
      </c>
      <c r="B2305" s="4" t="s">
        <v>1142</v>
      </c>
      <c r="C2305" s="5">
        <v>41489</v>
      </c>
      <c r="D2305" s="5">
        <v>41549</v>
      </c>
      <c r="E2305" s="4" t="s">
        <v>7</v>
      </c>
      <c r="F2305" s="4" t="s">
        <v>808</v>
      </c>
    </row>
    <row r="2306" spans="1:6" x14ac:dyDescent="0.25">
      <c r="A2306" s="4" t="str">
        <f>CONCATENATE("3071-0000-3226","")</f>
        <v>3071-0000-3226</v>
      </c>
      <c r="B2306" s="4" t="s">
        <v>1037</v>
      </c>
      <c r="C2306" s="5">
        <v>41489</v>
      </c>
      <c r="D2306" s="5">
        <v>41549</v>
      </c>
      <c r="E2306" s="4" t="s">
        <v>7</v>
      </c>
      <c r="F2306" s="4" t="s">
        <v>808</v>
      </c>
    </row>
    <row r="2307" spans="1:6" x14ac:dyDescent="0.25">
      <c r="A2307" s="4" t="str">
        <f>CONCATENATE("3071-0000-3330","")</f>
        <v>3071-0000-3330</v>
      </c>
      <c r="B2307" s="4" t="s">
        <v>1125</v>
      </c>
      <c r="C2307" s="5">
        <v>41489</v>
      </c>
      <c r="D2307" s="5">
        <v>41549</v>
      </c>
      <c r="E2307" s="4" t="s">
        <v>7</v>
      </c>
      <c r="F2307" s="4" t="s">
        <v>808</v>
      </c>
    </row>
    <row r="2308" spans="1:6" x14ac:dyDescent="0.25">
      <c r="A2308" s="4" t="str">
        <f>CONCATENATE("3071-0000-3130","")</f>
        <v>3071-0000-3130</v>
      </c>
      <c r="B2308" s="4" t="s">
        <v>1067</v>
      </c>
      <c r="C2308" s="5">
        <v>41489</v>
      </c>
      <c r="D2308" s="5">
        <v>41549</v>
      </c>
      <c r="E2308" s="4" t="s">
        <v>7</v>
      </c>
      <c r="F2308" s="4" t="s">
        <v>808</v>
      </c>
    </row>
    <row r="2309" spans="1:6" x14ac:dyDescent="0.25">
      <c r="A2309" s="4" t="str">
        <f>CONCATENATE("3071-0000-7000","")</f>
        <v>3071-0000-7000</v>
      </c>
      <c r="B2309" s="4" t="s">
        <v>4376</v>
      </c>
      <c r="C2309" s="5">
        <v>41489</v>
      </c>
      <c r="D2309" s="5">
        <v>41549</v>
      </c>
      <c r="E2309" s="4" t="s">
        <v>1410</v>
      </c>
      <c r="F2309" s="4" t="s">
        <v>1410</v>
      </c>
    </row>
    <row r="2310" spans="1:6" x14ac:dyDescent="0.25">
      <c r="A2310" s="4" t="str">
        <f>CONCATENATE("3071-0000-9302","")</f>
        <v>3071-0000-9302</v>
      </c>
      <c r="B2310" s="4" t="s">
        <v>8335</v>
      </c>
      <c r="C2310" s="5">
        <v>41489</v>
      </c>
      <c r="D2310" s="5">
        <v>41549</v>
      </c>
      <c r="E2310" s="4" t="s">
        <v>5185</v>
      </c>
      <c r="F2310" s="4" t="s">
        <v>5185</v>
      </c>
    </row>
    <row r="2311" spans="1:6" x14ac:dyDescent="0.25">
      <c r="A2311" s="4" t="str">
        <f>CONCATENATE("3071-0000-6420","")</f>
        <v>3071-0000-6420</v>
      </c>
      <c r="B2311" s="4" t="s">
        <v>8125</v>
      </c>
      <c r="C2311" s="5">
        <v>41489</v>
      </c>
      <c r="D2311" s="5">
        <v>41549</v>
      </c>
      <c r="E2311" s="4" t="s">
        <v>5185</v>
      </c>
      <c r="F2311" s="4" t="s">
        <v>5185</v>
      </c>
    </row>
    <row r="2312" spans="1:6" x14ac:dyDescent="0.25">
      <c r="A2312" s="4" t="str">
        <f>CONCATENATE("3071-0000-7005","")</f>
        <v>3071-0000-7005</v>
      </c>
      <c r="B2312" s="4" t="s">
        <v>4646</v>
      </c>
      <c r="C2312" s="5">
        <v>41489</v>
      </c>
      <c r="D2312" s="5">
        <v>41549</v>
      </c>
      <c r="E2312" s="4" t="s">
        <v>1410</v>
      </c>
      <c r="F2312" s="4" t="s">
        <v>1410</v>
      </c>
    </row>
    <row r="2313" spans="1:6" x14ac:dyDescent="0.25">
      <c r="A2313" s="4" t="str">
        <f>CONCATENATE("3071-0000-0408","")</f>
        <v>3071-0000-0408</v>
      </c>
      <c r="B2313" s="4" t="s">
        <v>679</v>
      </c>
      <c r="C2313" s="5">
        <v>41489</v>
      </c>
      <c r="D2313" s="5">
        <v>41549</v>
      </c>
      <c r="E2313" s="4" t="s">
        <v>7</v>
      </c>
      <c r="F2313" s="4" t="s">
        <v>7</v>
      </c>
    </row>
    <row r="2314" spans="1:6" x14ac:dyDescent="0.25">
      <c r="A2314" s="4" t="str">
        <f>CONCATENATE("3071-0000-3778","")</f>
        <v>3071-0000-3778</v>
      </c>
      <c r="B2314" s="4" t="s">
        <v>3910</v>
      </c>
      <c r="C2314" s="5">
        <v>41489</v>
      </c>
      <c r="D2314" s="5">
        <v>41549</v>
      </c>
      <c r="E2314" s="4" t="s">
        <v>2944</v>
      </c>
      <c r="F2314" s="4" t="s">
        <v>3513</v>
      </c>
    </row>
    <row r="2315" spans="1:6" x14ac:dyDescent="0.25">
      <c r="A2315" s="4" t="str">
        <f>CONCATENATE("3071-0000-3616","")</f>
        <v>3071-0000-3616</v>
      </c>
      <c r="B2315" s="4" t="s">
        <v>1856</v>
      </c>
      <c r="C2315" s="5">
        <v>41489</v>
      </c>
      <c r="D2315" s="5">
        <v>41549</v>
      </c>
      <c r="E2315" s="4" t="s">
        <v>1410</v>
      </c>
      <c r="F2315" s="4" t="s">
        <v>1613</v>
      </c>
    </row>
    <row r="2316" spans="1:6" x14ac:dyDescent="0.25">
      <c r="A2316" s="4" t="str">
        <f>CONCATENATE("3071-0000-9600","")</f>
        <v>3071-0000-9600</v>
      </c>
      <c r="B2316" s="4" t="s">
        <v>8671</v>
      </c>
      <c r="C2316" s="5">
        <v>41489</v>
      </c>
      <c r="D2316" s="5">
        <v>41549</v>
      </c>
      <c r="E2316" s="4" t="s">
        <v>1410</v>
      </c>
      <c r="F2316" s="4" t="s">
        <v>4459</v>
      </c>
    </row>
    <row r="2317" spans="1:6" x14ac:dyDescent="0.25">
      <c r="A2317" s="4" t="str">
        <f>CONCATENATE("3071-0000-1543","")</f>
        <v>3071-0000-1543</v>
      </c>
      <c r="B2317" s="4" t="s">
        <v>2846</v>
      </c>
      <c r="C2317" s="5">
        <v>41489</v>
      </c>
      <c r="D2317" s="5">
        <v>41549</v>
      </c>
      <c r="E2317" s="4" t="s">
        <v>1381</v>
      </c>
      <c r="F2317" s="4" t="s">
        <v>2303</v>
      </c>
    </row>
    <row r="2318" spans="1:6" x14ac:dyDescent="0.25">
      <c r="A2318" s="4" t="str">
        <f>CONCATENATE("3071-0000-0905","")</f>
        <v>3071-0000-0905</v>
      </c>
      <c r="B2318" s="4" t="s">
        <v>1923</v>
      </c>
      <c r="C2318" s="5">
        <v>41489</v>
      </c>
      <c r="D2318" s="5">
        <v>41549</v>
      </c>
      <c r="E2318" s="4" t="s">
        <v>1857</v>
      </c>
      <c r="F2318" s="4" t="s">
        <v>1857</v>
      </c>
    </row>
    <row r="2319" spans="1:6" x14ac:dyDescent="0.25">
      <c r="A2319" s="4" t="str">
        <f>CONCATENATE("3071-0000-6213","")</f>
        <v>3071-0000-6213</v>
      </c>
      <c r="B2319" s="4" t="s">
        <v>7005</v>
      </c>
      <c r="C2319" s="5">
        <v>41489</v>
      </c>
      <c r="D2319" s="5">
        <v>41549</v>
      </c>
      <c r="E2319" s="4" t="s">
        <v>1410</v>
      </c>
      <c r="F2319" s="4" t="s">
        <v>6798</v>
      </c>
    </row>
    <row r="2320" spans="1:6" x14ac:dyDescent="0.25">
      <c r="A2320" s="4" t="str">
        <f>CONCATENATE("3071-0000-1737","")</f>
        <v>3071-0000-1737</v>
      </c>
      <c r="B2320" s="4" t="s">
        <v>2732</v>
      </c>
      <c r="C2320" s="5">
        <v>41489</v>
      </c>
      <c r="D2320" s="5">
        <v>41549</v>
      </c>
      <c r="E2320" s="4" t="s">
        <v>1381</v>
      </c>
      <c r="F2320" s="4" t="s">
        <v>2662</v>
      </c>
    </row>
    <row r="2321" spans="1:6" x14ac:dyDescent="0.25">
      <c r="A2321" s="4" t="str">
        <f>CONCATENATE("3071-0000-0197","")</f>
        <v>3071-0000-0197</v>
      </c>
      <c r="B2321" s="4" t="s">
        <v>432</v>
      </c>
      <c r="C2321" s="5">
        <v>41489</v>
      </c>
      <c r="D2321" s="5">
        <v>41549</v>
      </c>
      <c r="E2321" s="4" t="s">
        <v>7</v>
      </c>
      <c r="F2321" s="4" t="s">
        <v>7</v>
      </c>
    </row>
    <row r="2322" spans="1:6" x14ac:dyDescent="0.25">
      <c r="A2322" s="4" t="str">
        <f>CONCATENATE("3071-0000-0934","")</f>
        <v>3071-0000-0934</v>
      </c>
      <c r="B2322" s="4" t="s">
        <v>2100</v>
      </c>
      <c r="C2322" s="5">
        <v>41489</v>
      </c>
      <c r="D2322" s="5">
        <v>41549</v>
      </c>
      <c r="E2322" s="4" t="s">
        <v>1857</v>
      </c>
      <c r="F2322" s="4" t="s">
        <v>1857</v>
      </c>
    </row>
    <row r="2323" spans="1:6" x14ac:dyDescent="0.25">
      <c r="A2323" s="4" t="str">
        <f>CONCATENATE("3071-0000-3796","")</f>
        <v>3071-0000-3796</v>
      </c>
      <c r="B2323" s="4" t="s">
        <v>3824</v>
      </c>
      <c r="C2323" s="5">
        <v>41489</v>
      </c>
      <c r="D2323" s="5">
        <v>41549</v>
      </c>
      <c r="E2323" s="4" t="s">
        <v>7</v>
      </c>
      <c r="F2323" s="4" t="s">
        <v>3818</v>
      </c>
    </row>
    <row r="2324" spans="1:6" x14ac:dyDescent="0.25">
      <c r="A2324" s="4" t="str">
        <f>CONCATENATE("3071-0000-4584","")</f>
        <v>3071-0000-4584</v>
      </c>
      <c r="B2324" s="4" t="s">
        <v>9613</v>
      </c>
      <c r="C2324" s="5">
        <v>41489</v>
      </c>
      <c r="D2324" s="5">
        <v>41549</v>
      </c>
      <c r="E2324" s="4" t="s">
        <v>1410</v>
      </c>
      <c r="F2324" s="4" t="s">
        <v>8696</v>
      </c>
    </row>
    <row r="2325" spans="1:6" x14ac:dyDescent="0.25">
      <c r="A2325" s="4" t="str">
        <f>CONCATENATE("3071-0000-4930","")</f>
        <v>3071-0000-4930</v>
      </c>
      <c r="B2325" s="4" t="s">
        <v>9579</v>
      </c>
      <c r="C2325" s="5">
        <v>41489</v>
      </c>
      <c r="D2325" s="5">
        <v>41549</v>
      </c>
      <c r="E2325" s="4" t="s">
        <v>7069</v>
      </c>
      <c r="F2325" s="4" t="s">
        <v>9485</v>
      </c>
    </row>
    <row r="2326" spans="1:6" x14ac:dyDescent="0.25">
      <c r="A2326" s="4" t="str">
        <f>CONCATENATE("3071-0000-4492","")</f>
        <v>3071-0000-4492</v>
      </c>
      <c r="B2326" s="4" t="s">
        <v>9483</v>
      </c>
      <c r="C2326" s="5">
        <v>41489</v>
      </c>
      <c r="D2326" s="5">
        <v>41549</v>
      </c>
      <c r="E2326" s="4" t="s">
        <v>1410</v>
      </c>
      <c r="F2326" s="4" t="s">
        <v>8696</v>
      </c>
    </row>
    <row r="2327" spans="1:6" x14ac:dyDescent="0.25">
      <c r="A2327" s="4" t="str">
        <f>CONCATENATE("3071-0000-4952","")</f>
        <v>3071-0000-4952</v>
      </c>
      <c r="B2327" s="4" t="s">
        <v>9560</v>
      </c>
      <c r="C2327" s="5">
        <v>41489</v>
      </c>
      <c r="D2327" s="5">
        <v>41549</v>
      </c>
      <c r="E2327" s="4" t="s">
        <v>7069</v>
      </c>
      <c r="F2327" s="4" t="s">
        <v>9485</v>
      </c>
    </row>
    <row r="2328" spans="1:6" x14ac:dyDescent="0.25">
      <c r="A2328" s="4" t="str">
        <f>CONCATENATE("3071-0000-4534","")</f>
        <v>3071-0000-4534</v>
      </c>
      <c r="B2328" s="4" t="s">
        <v>9559</v>
      </c>
      <c r="C2328" s="5">
        <v>41489</v>
      </c>
      <c r="D2328" s="5">
        <v>41549</v>
      </c>
      <c r="E2328" s="4" t="s">
        <v>1410</v>
      </c>
      <c r="F2328" s="4" t="s">
        <v>8696</v>
      </c>
    </row>
    <row r="2329" spans="1:6" x14ac:dyDescent="0.25">
      <c r="A2329" s="4" t="str">
        <f>CONCATENATE("3071-0000-2357","")</f>
        <v>3071-0000-2357</v>
      </c>
      <c r="B2329" s="4" t="s">
        <v>3779</v>
      </c>
      <c r="C2329" s="5">
        <v>41489</v>
      </c>
      <c r="D2329" s="5">
        <v>41549</v>
      </c>
      <c r="E2329" s="4" t="s">
        <v>2944</v>
      </c>
      <c r="F2329" s="4" t="s">
        <v>3115</v>
      </c>
    </row>
    <row r="2330" spans="1:6" x14ac:dyDescent="0.25">
      <c r="A2330" s="4" t="str">
        <f>CONCATENATE("3071-0000-6846","")</f>
        <v>3071-0000-6846</v>
      </c>
      <c r="B2330" s="4" t="s">
        <v>8066</v>
      </c>
      <c r="C2330" s="5">
        <v>41489</v>
      </c>
      <c r="D2330" s="5">
        <v>41549</v>
      </c>
      <c r="E2330" s="4" t="s">
        <v>1410</v>
      </c>
      <c r="F2330" s="4" t="s">
        <v>1613</v>
      </c>
    </row>
    <row r="2331" spans="1:6" x14ac:dyDescent="0.25">
      <c r="A2331" s="4" t="str">
        <f>CONCATENATE("3071-0000-0750","")</f>
        <v>3071-0000-0750</v>
      </c>
      <c r="B2331" s="4" t="s">
        <v>723</v>
      </c>
      <c r="C2331" s="5">
        <v>41489</v>
      </c>
      <c r="D2331" s="5">
        <v>41549</v>
      </c>
      <c r="E2331" s="4" t="s">
        <v>7</v>
      </c>
      <c r="F2331" s="4" t="s">
        <v>273</v>
      </c>
    </row>
    <row r="2332" spans="1:6" x14ac:dyDescent="0.25">
      <c r="A2332" s="4" t="str">
        <f>CONCATENATE("3071-0000-1082","")</f>
        <v>3071-0000-1082</v>
      </c>
      <c r="B2332" s="4" t="s">
        <v>2084</v>
      </c>
      <c r="C2332" s="5">
        <v>41489</v>
      </c>
      <c r="D2332" s="5">
        <v>41549</v>
      </c>
      <c r="E2332" s="4" t="s">
        <v>1857</v>
      </c>
      <c r="F2332" s="4" t="s">
        <v>2052</v>
      </c>
    </row>
    <row r="2333" spans="1:6" x14ac:dyDescent="0.25">
      <c r="A2333" s="4" t="str">
        <f>CONCATENATE("3071-0000-7744","")</f>
        <v>3071-0000-7744</v>
      </c>
      <c r="B2333" s="4" t="s">
        <v>4611</v>
      </c>
      <c r="C2333" s="5">
        <v>41489</v>
      </c>
      <c r="D2333" s="5">
        <v>41549</v>
      </c>
      <c r="E2333" s="4" t="s">
        <v>1410</v>
      </c>
      <c r="F2333" s="4" t="s">
        <v>1410</v>
      </c>
    </row>
    <row r="2334" spans="1:6" x14ac:dyDescent="0.25">
      <c r="A2334" s="4" t="str">
        <f>CONCATENATE("3071-0000-8410","")</f>
        <v>3071-0000-8410</v>
      </c>
      <c r="B2334" s="4" t="s">
        <v>5227</v>
      </c>
      <c r="C2334" s="5">
        <v>41489</v>
      </c>
      <c r="D2334" s="5">
        <v>41549</v>
      </c>
      <c r="E2334" s="4" t="s">
        <v>5185</v>
      </c>
      <c r="F2334" s="4" t="s">
        <v>5185</v>
      </c>
    </row>
    <row r="2335" spans="1:6" x14ac:dyDescent="0.25">
      <c r="A2335" s="4" t="str">
        <f>CONCATENATE("3071-0000-3816","")</f>
        <v>3071-0000-3816</v>
      </c>
      <c r="B2335" s="4" t="s">
        <v>3856</v>
      </c>
      <c r="C2335" s="5">
        <v>41489</v>
      </c>
      <c r="D2335" s="5">
        <v>41549</v>
      </c>
      <c r="E2335" s="4" t="s">
        <v>7</v>
      </c>
      <c r="F2335" s="4" t="s">
        <v>3818</v>
      </c>
    </row>
    <row r="2336" spans="1:6" x14ac:dyDescent="0.25">
      <c r="A2336" s="4" t="str">
        <f>CONCATENATE("3071-0000-4186","")</f>
        <v>3071-0000-4186</v>
      </c>
      <c r="B2336" s="4" t="s">
        <v>3872</v>
      </c>
      <c r="C2336" s="5">
        <v>41489</v>
      </c>
      <c r="D2336" s="5">
        <v>41549</v>
      </c>
      <c r="E2336" s="4" t="s">
        <v>7</v>
      </c>
      <c r="F2336" s="4" t="s">
        <v>3818</v>
      </c>
    </row>
    <row r="2337" spans="1:6" x14ac:dyDescent="0.25">
      <c r="A2337" s="4" t="str">
        <f>CONCATENATE("3071-0000-3210","")</f>
        <v>3071-0000-3210</v>
      </c>
      <c r="B2337" s="4" t="s">
        <v>966</v>
      </c>
      <c r="C2337" s="5">
        <v>41489</v>
      </c>
      <c r="D2337" s="5">
        <v>41549</v>
      </c>
      <c r="E2337" s="4" t="s">
        <v>7</v>
      </c>
      <c r="F2337" s="4" t="s">
        <v>808</v>
      </c>
    </row>
    <row r="2338" spans="1:6" x14ac:dyDescent="0.25">
      <c r="A2338" s="4" t="str">
        <f>CONCATENATE("3071-0000-5454","")</f>
        <v>3071-0000-5454</v>
      </c>
      <c r="B2338" s="4" t="s">
        <v>6914</v>
      </c>
      <c r="C2338" s="5">
        <v>41489</v>
      </c>
      <c r="D2338" s="5">
        <v>41549</v>
      </c>
      <c r="E2338" s="4" t="s">
        <v>5185</v>
      </c>
      <c r="F2338" s="4" t="s">
        <v>5185</v>
      </c>
    </row>
    <row r="2339" spans="1:6" x14ac:dyDescent="0.25">
      <c r="A2339" s="4" t="str">
        <f>CONCATENATE("3071-0000-5507","")</f>
        <v>3071-0000-5507</v>
      </c>
      <c r="B2339" s="4" t="s">
        <v>6922</v>
      </c>
      <c r="C2339" s="5">
        <v>41489</v>
      </c>
      <c r="D2339" s="5">
        <v>41549</v>
      </c>
      <c r="E2339" s="4" t="s">
        <v>5185</v>
      </c>
      <c r="F2339" s="4" t="s">
        <v>5250</v>
      </c>
    </row>
    <row r="2340" spans="1:6" x14ac:dyDescent="0.25">
      <c r="A2340" s="4" t="str">
        <f>CONCATENATE("3071-0000-2579","")</f>
        <v>3071-0000-2579</v>
      </c>
      <c r="B2340" s="4" t="s">
        <v>3262</v>
      </c>
      <c r="C2340" s="5">
        <v>41489</v>
      </c>
      <c r="D2340" s="5">
        <v>41549</v>
      </c>
      <c r="E2340" s="4" t="s">
        <v>2944</v>
      </c>
      <c r="F2340" s="4" t="s">
        <v>3164</v>
      </c>
    </row>
    <row r="2341" spans="1:6" x14ac:dyDescent="0.25">
      <c r="A2341" s="4" t="str">
        <f>CONCATENATE("3071-0000-0196","")</f>
        <v>3071-0000-0196</v>
      </c>
      <c r="B2341" s="4" t="s">
        <v>428</v>
      </c>
      <c r="C2341" s="5">
        <v>41489</v>
      </c>
      <c r="D2341" s="5">
        <v>41549</v>
      </c>
      <c r="E2341" s="4" t="s">
        <v>7</v>
      </c>
      <c r="F2341" s="4" t="s">
        <v>7</v>
      </c>
    </row>
    <row r="2342" spans="1:6" x14ac:dyDescent="0.25">
      <c r="A2342" s="4" t="str">
        <f>CONCATENATE("3071-0000-0427","")</f>
        <v>3071-0000-0427</v>
      </c>
      <c r="B2342" s="4" t="s">
        <v>49</v>
      </c>
      <c r="C2342" s="5">
        <v>41489</v>
      </c>
      <c r="D2342" s="5">
        <v>41549</v>
      </c>
      <c r="E2342" s="4" t="s">
        <v>7</v>
      </c>
      <c r="F2342" s="4" t="s">
        <v>7</v>
      </c>
    </row>
    <row r="2343" spans="1:6" x14ac:dyDescent="0.25">
      <c r="A2343" s="4" t="str">
        <f>CONCATENATE("3071-0000-7965","")</f>
        <v>3071-0000-7965</v>
      </c>
      <c r="B2343" s="4" t="s">
        <v>5372</v>
      </c>
      <c r="C2343" s="5">
        <v>41489</v>
      </c>
      <c r="D2343" s="5">
        <v>41549</v>
      </c>
      <c r="E2343" s="4" t="s">
        <v>5185</v>
      </c>
      <c r="F2343" s="4" t="s">
        <v>5185</v>
      </c>
    </row>
    <row r="2344" spans="1:6" x14ac:dyDescent="0.25">
      <c r="A2344" s="4" t="str">
        <f>CONCATENATE("3071-0000-7959","")</f>
        <v>3071-0000-7959</v>
      </c>
      <c r="B2344" s="4" t="s">
        <v>5383</v>
      </c>
      <c r="C2344" s="5">
        <v>41489</v>
      </c>
      <c r="D2344" s="5">
        <v>41549</v>
      </c>
      <c r="E2344" s="4" t="s">
        <v>5185</v>
      </c>
      <c r="F2344" s="4" t="s">
        <v>5185</v>
      </c>
    </row>
    <row r="2345" spans="1:6" x14ac:dyDescent="0.25">
      <c r="A2345" s="4" t="str">
        <f>CONCATENATE("3071-0000-7972","")</f>
        <v>3071-0000-7972</v>
      </c>
      <c r="B2345" s="4" t="s">
        <v>5370</v>
      </c>
      <c r="C2345" s="5">
        <v>41489</v>
      </c>
      <c r="D2345" s="5">
        <v>41549</v>
      </c>
      <c r="E2345" s="4" t="s">
        <v>5185</v>
      </c>
      <c r="F2345" s="4" t="s">
        <v>4188</v>
      </c>
    </row>
    <row r="2346" spans="1:6" x14ac:dyDescent="0.25">
      <c r="A2346" s="4" t="str">
        <f>CONCATENATE("3071-0000-7980","")</f>
        <v>3071-0000-7980</v>
      </c>
      <c r="B2346" s="4" t="s">
        <v>5360</v>
      </c>
      <c r="C2346" s="5">
        <v>41489</v>
      </c>
      <c r="D2346" s="5">
        <v>41549</v>
      </c>
      <c r="E2346" s="4" t="s">
        <v>5185</v>
      </c>
      <c r="F2346" s="4" t="s">
        <v>5185</v>
      </c>
    </row>
    <row r="2347" spans="1:6" x14ac:dyDescent="0.25">
      <c r="A2347" s="4" t="str">
        <f>CONCATENATE("3071-0000-7987","")</f>
        <v>3071-0000-7987</v>
      </c>
      <c r="B2347" s="4" t="s">
        <v>5363</v>
      </c>
      <c r="C2347" s="5">
        <v>41489</v>
      </c>
      <c r="D2347" s="5">
        <v>41549</v>
      </c>
      <c r="E2347" s="4" t="s">
        <v>5185</v>
      </c>
      <c r="F2347" s="4" t="s">
        <v>5185</v>
      </c>
    </row>
    <row r="2348" spans="1:6" x14ac:dyDescent="0.25">
      <c r="A2348" s="4" t="str">
        <f>CONCATENATE("3071-0000-7962","")</f>
        <v>3071-0000-7962</v>
      </c>
      <c r="B2348" s="4" t="s">
        <v>5379</v>
      </c>
      <c r="C2348" s="5">
        <v>41489</v>
      </c>
      <c r="D2348" s="5">
        <v>41549</v>
      </c>
      <c r="E2348" s="4" t="s">
        <v>5185</v>
      </c>
      <c r="F2348" s="4" t="s">
        <v>5185</v>
      </c>
    </row>
    <row r="2349" spans="1:6" x14ac:dyDescent="0.25">
      <c r="A2349" s="4" t="str">
        <f>CONCATENATE("3071-0000-3566","")</f>
        <v>3071-0000-3566</v>
      </c>
      <c r="B2349" s="4" t="s">
        <v>1709</v>
      </c>
      <c r="C2349" s="5">
        <v>41489</v>
      </c>
      <c r="D2349" s="5">
        <v>41549</v>
      </c>
      <c r="E2349" s="4" t="s">
        <v>1410</v>
      </c>
      <c r="F2349" s="4" t="s">
        <v>1411</v>
      </c>
    </row>
    <row r="2350" spans="1:6" x14ac:dyDescent="0.25">
      <c r="A2350" s="4" t="str">
        <f>CONCATENATE("3071-0000-4328","")</f>
        <v>3071-0000-4328</v>
      </c>
      <c r="B2350" s="4" t="s">
        <v>8770</v>
      </c>
      <c r="C2350" s="5">
        <v>41489</v>
      </c>
      <c r="D2350" s="5">
        <v>41549</v>
      </c>
      <c r="E2350" s="4" t="s">
        <v>1410</v>
      </c>
      <c r="F2350" s="4" t="s">
        <v>8696</v>
      </c>
    </row>
    <row r="2351" spans="1:6" x14ac:dyDescent="0.25">
      <c r="A2351" s="4" t="str">
        <f>CONCATENATE("3071-0000-4332","")</f>
        <v>3071-0000-4332</v>
      </c>
      <c r="B2351" s="4" t="s">
        <v>8773</v>
      </c>
      <c r="C2351" s="5">
        <v>41489</v>
      </c>
      <c r="D2351" s="5">
        <v>41549</v>
      </c>
      <c r="E2351" s="4" t="s">
        <v>1410</v>
      </c>
      <c r="F2351" s="4" t="s">
        <v>8696</v>
      </c>
    </row>
    <row r="2352" spans="1:6" x14ac:dyDescent="0.25">
      <c r="A2352" s="4" t="str">
        <f>CONCATENATE("3071-0000-3323","")</f>
        <v>3071-0000-3323</v>
      </c>
      <c r="B2352" s="4" t="s">
        <v>979</v>
      </c>
      <c r="C2352" s="5">
        <v>41489</v>
      </c>
      <c r="D2352" s="5">
        <v>41549</v>
      </c>
      <c r="E2352" s="4" t="s">
        <v>7</v>
      </c>
      <c r="F2352" s="4" t="s">
        <v>808</v>
      </c>
    </row>
    <row r="2353" spans="1:6" x14ac:dyDescent="0.25">
      <c r="A2353" s="4" t="str">
        <f>CONCATENATE("3071-0000-4853","")</f>
        <v>3071-0000-4853</v>
      </c>
      <c r="B2353" s="4" t="s">
        <v>8756</v>
      </c>
      <c r="C2353" s="5">
        <v>41489</v>
      </c>
      <c r="D2353" s="5">
        <v>41549</v>
      </c>
      <c r="E2353" s="4" t="s">
        <v>1410</v>
      </c>
      <c r="F2353" s="4" t="s">
        <v>8696</v>
      </c>
    </row>
    <row r="2354" spans="1:6" x14ac:dyDescent="0.25">
      <c r="A2354" s="4" t="str">
        <f>CONCATENATE("3071-0000-5029","")</f>
        <v>3071-0000-5029</v>
      </c>
      <c r="B2354" s="4" t="s">
        <v>8760</v>
      </c>
      <c r="C2354" s="5">
        <v>41489</v>
      </c>
      <c r="D2354" s="5">
        <v>41549</v>
      </c>
      <c r="E2354" s="4" t="s">
        <v>1410</v>
      </c>
      <c r="F2354" s="4" t="s">
        <v>8696</v>
      </c>
    </row>
    <row r="2355" spans="1:6" x14ac:dyDescent="0.25">
      <c r="A2355" s="4" t="str">
        <f>CONCATENATE("3071-0000-3451","")</f>
        <v>3071-0000-3451</v>
      </c>
      <c r="B2355" s="4" t="s">
        <v>1738</v>
      </c>
      <c r="C2355" s="5">
        <v>41489</v>
      </c>
      <c r="D2355" s="5">
        <v>41549</v>
      </c>
      <c r="E2355" s="4" t="s">
        <v>1410</v>
      </c>
      <c r="F2355" s="4" t="s">
        <v>1411</v>
      </c>
    </row>
    <row r="2356" spans="1:6" x14ac:dyDescent="0.25">
      <c r="A2356" s="4" t="str">
        <f>CONCATENATE("3071-0000-3514","")</f>
        <v>3071-0000-3514</v>
      </c>
      <c r="B2356" s="4" t="s">
        <v>1834</v>
      </c>
      <c r="C2356" s="5">
        <v>41489</v>
      </c>
      <c r="D2356" s="5">
        <v>41549</v>
      </c>
      <c r="E2356" s="4" t="s">
        <v>1410</v>
      </c>
      <c r="F2356" s="4" t="s">
        <v>1411</v>
      </c>
    </row>
    <row r="2357" spans="1:6" x14ac:dyDescent="0.25">
      <c r="A2357" s="4" t="str">
        <f>CONCATENATE("3071-0000-3506","")</f>
        <v>3071-0000-3506</v>
      </c>
      <c r="B2357" s="4" t="s">
        <v>1826</v>
      </c>
      <c r="C2357" s="5">
        <v>41489</v>
      </c>
      <c r="D2357" s="5">
        <v>41549</v>
      </c>
      <c r="E2357" s="4" t="s">
        <v>1410</v>
      </c>
      <c r="F2357" s="4" t="s">
        <v>1411</v>
      </c>
    </row>
    <row r="2358" spans="1:6" x14ac:dyDescent="0.25">
      <c r="A2358" s="4" t="str">
        <f>CONCATENATE("3071-0000-4487","")</f>
        <v>3071-0000-4487</v>
      </c>
      <c r="B2358" s="4" t="s">
        <v>9096</v>
      </c>
      <c r="C2358" s="5">
        <v>41489</v>
      </c>
      <c r="D2358" s="5">
        <v>41549</v>
      </c>
      <c r="E2358" s="4" t="s">
        <v>1410</v>
      </c>
      <c r="F2358" s="4" t="s">
        <v>8696</v>
      </c>
    </row>
    <row r="2359" spans="1:6" x14ac:dyDescent="0.25">
      <c r="A2359" s="4" t="str">
        <f>CONCATENATE("3071-0000-4551","")</f>
        <v>3071-0000-4551</v>
      </c>
      <c r="B2359" s="4" t="s">
        <v>9077</v>
      </c>
      <c r="C2359" s="5">
        <v>41489</v>
      </c>
      <c r="D2359" s="5">
        <v>41549</v>
      </c>
      <c r="E2359" s="4" t="s">
        <v>1410</v>
      </c>
      <c r="F2359" s="4" t="s">
        <v>8696</v>
      </c>
    </row>
    <row r="2360" spans="1:6" x14ac:dyDescent="0.25">
      <c r="A2360" s="4" t="str">
        <f>CONCATENATE("3071-0000-4548","")</f>
        <v>3071-0000-4548</v>
      </c>
      <c r="B2360" s="4" t="s">
        <v>9074</v>
      </c>
      <c r="C2360" s="5">
        <v>41489</v>
      </c>
      <c r="D2360" s="5">
        <v>41549</v>
      </c>
      <c r="E2360" s="4" t="s">
        <v>1410</v>
      </c>
      <c r="F2360" s="4" t="s">
        <v>8696</v>
      </c>
    </row>
    <row r="2361" spans="1:6" x14ac:dyDescent="0.25">
      <c r="A2361" s="4" t="str">
        <f>CONCATENATE("3071-0000-4346","")</f>
        <v>3071-0000-4346</v>
      </c>
      <c r="B2361" s="4" t="s">
        <v>9107</v>
      </c>
      <c r="C2361" s="5">
        <v>41489</v>
      </c>
      <c r="D2361" s="5">
        <v>41549</v>
      </c>
      <c r="E2361" s="4" t="s">
        <v>1410</v>
      </c>
      <c r="F2361" s="4" t="s">
        <v>8696</v>
      </c>
    </row>
    <row r="2362" spans="1:6" x14ac:dyDescent="0.25">
      <c r="A2362" s="4" t="str">
        <f>CONCATENATE("3071-0000-4565","")</f>
        <v>3071-0000-4565</v>
      </c>
      <c r="B2362" s="4" t="s">
        <v>9093</v>
      </c>
      <c r="C2362" s="5">
        <v>41489</v>
      </c>
      <c r="D2362" s="5">
        <v>41549</v>
      </c>
      <c r="E2362" s="4" t="s">
        <v>1410</v>
      </c>
      <c r="F2362" s="4" t="s">
        <v>8696</v>
      </c>
    </row>
    <row r="2363" spans="1:6" x14ac:dyDescent="0.25">
      <c r="A2363" s="4" t="str">
        <f>CONCATENATE("3071-0000-1918","")</f>
        <v>3071-0000-1918</v>
      </c>
      <c r="B2363" s="4" t="s">
        <v>3010</v>
      </c>
      <c r="C2363" s="5">
        <v>41489</v>
      </c>
      <c r="D2363" s="5">
        <v>41549</v>
      </c>
      <c r="E2363" s="4" t="s">
        <v>2944</v>
      </c>
      <c r="F2363" s="4" t="s">
        <v>2945</v>
      </c>
    </row>
    <row r="2364" spans="1:6" x14ac:dyDescent="0.25">
      <c r="A2364" s="4" t="str">
        <f>CONCATENATE("3071-0000-2355","")</f>
        <v>3071-0000-2355</v>
      </c>
      <c r="B2364" s="4" t="s">
        <v>3050</v>
      </c>
      <c r="C2364" s="5">
        <v>41489</v>
      </c>
      <c r="D2364" s="5">
        <v>41549</v>
      </c>
      <c r="E2364" s="4" t="s">
        <v>2944</v>
      </c>
      <c r="F2364" s="4" t="s">
        <v>2945</v>
      </c>
    </row>
    <row r="2365" spans="1:6" x14ac:dyDescent="0.25">
      <c r="A2365" s="4" t="str">
        <f>CONCATENATE("3071-0000-2401","")</f>
        <v>3071-0000-2401</v>
      </c>
      <c r="B2365" s="4" t="s">
        <v>3059</v>
      </c>
      <c r="C2365" s="5">
        <v>41489</v>
      </c>
      <c r="D2365" s="5">
        <v>41549</v>
      </c>
      <c r="E2365" s="4" t="s">
        <v>2944</v>
      </c>
      <c r="F2365" s="4" t="s">
        <v>2945</v>
      </c>
    </row>
    <row r="2366" spans="1:6" x14ac:dyDescent="0.25">
      <c r="A2366" s="4" t="str">
        <f>CONCATENATE("3071-0000-8005","")</f>
        <v>3071-0000-8005</v>
      </c>
      <c r="B2366" s="4" t="s">
        <v>5947</v>
      </c>
      <c r="C2366" s="5">
        <v>41489</v>
      </c>
      <c r="D2366" s="5">
        <v>41549</v>
      </c>
      <c r="E2366" s="4" t="s">
        <v>5185</v>
      </c>
      <c r="F2366" s="4" t="s">
        <v>5185</v>
      </c>
    </row>
    <row r="2367" spans="1:6" x14ac:dyDescent="0.25">
      <c r="A2367" s="4" t="str">
        <f>CONCATENATE("3071-0000-2759","")</f>
        <v>3071-0000-2759</v>
      </c>
      <c r="B2367" s="4" t="s">
        <v>852</v>
      </c>
      <c r="C2367" s="5">
        <v>41489</v>
      </c>
      <c r="D2367" s="5">
        <v>41549</v>
      </c>
      <c r="E2367" s="4" t="s">
        <v>7</v>
      </c>
      <c r="F2367" s="4" t="s">
        <v>808</v>
      </c>
    </row>
    <row r="2368" spans="1:6" x14ac:dyDescent="0.25">
      <c r="A2368" s="4" t="str">
        <f>CONCATENATE("3071-0000-5095","")</f>
        <v>3071-0000-5095</v>
      </c>
      <c r="B2368" s="4" t="s">
        <v>9329</v>
      </c>
      <c r="C2368" s="5">
        <v>41489</v>
      </c>
      <c r="D2368" s="5">
        <v>41549</v>
      </c>
      <c r="E2368" s="4" t="s">
        <v>7069</v>
      </c>
      <c r="F2368" s="4" t="s">
        <v>9210</v>
      </c>
    </row>
    <row r="2369" spans="1:6" x14ac:dyDescent="0.25">
      <c r="A2369" s="4" t="str">
        <f>CONCATENATE("3071-0000-3248","")</f>
        <v>3071-0000-3248</v>
      </c>
      <c r="B2369" s="4" t="s">
        <v>905</v>
      </c>
      <c r="C2369" s="5">
        <v>41489</v>
      </c>
      <c r="D2369" s="5">
        <v>41549</v>
      </c>
      <c r="E2369" s="4" t="s">
        <v>7</v>
      </c>
      <c r="F2369" s="4" t="s">
        <v>808</v>
      </c>
    </row>
    <row r="2370" spans="1:6" x14ac:dyDescent="0.25">
      <c r="A2370" s="4" t="str">
        <f>CONCATENATE("3071-0000-7116","")</f>
        <v>3071-0000-7116</v>
      </c>
      <c r="B2370" s="4" t="s">
        <v>4766</v>
      </c>
      <c r="C2370" s="5">
        <v>41489</v>
      </c>
      <c r="D2370" s="5">
        <v>41549</v>
      </c>
      <c r="E2370" s="4" t="s">
        <v>1410</v>
      </c>
      <c r="F2370" s="4" t="s">
        <v>1410</v>
      </c>
    </row>
    <row r="2371" spans="1:6" x14ac:dyDescent="0.25">
      <c r="A2371" s="4" t="str">
        <f>CONCATENATE("3071-0000-2285","")</f>
        <v>3071-0000-2285</v>
      </c>
      <c r="B2371" s="4" t="s">
        <v>3403</v>
      </c>
      <c r="C2371" s="5">
        <v>41489</v>
      </c>
      <c r="D2371" s="5">
        <v>41549</v>
      </c>
      <c r="E2371" s="4" t="s">
        <v>2944</v>
      </c>
      <c r="F2371" s="4" t="s">
        <v>2945</v>
      </c>
    </row>
    <row r="2372" spans="1:6" x14ac:dyDescent="0.25">
      <c r="A2372" s="4" t="str">
        <f>CONCATENATE("3071-0000-4535","")</f>
        <v>3071-0000-4535</v>
      </c>
      <c r="B2372" s="4" t="s">
        <v>9059</v>
      </c>
      <c r="C2372" s="5">
        <v>41489</v>
      </c>
      <c r="D2372" s="5">
        <v>41549</v>
      </c>
      <c r="E2372" s="4" t="s">
        <v>1410</v>
      </c>
      <c r="F2372" s="4" t="s">
        <v>8696</v>
      </c>
    </row>
    <row r="2373" spans="1:6" x14ac:dyDescent="0.25">
      <c r="A2373" s="4" t="str">
        <f>CONCATENATE("3071-0000-4755","")</f>
        <v>3071-0000-4755</v>
      </c>
      <c r="B2373" s="4" t="s">
        <v>9218</v>
      </c>
      <c r="C2373" s="5">
        <v>41489</v>
      </c>
      <c r="D2373" s="5">
        <v>41549</v>
      </c>
      <c r="E2373" s="4" t="s">
        <v>1410</v>
      </c>
      <c r="F2373" s="4" t="s">
        <v>8696</v>
      </c>
    </row>
    <row r="2374" spans="1:6" x14ac:dyDescent="0.25">
      <c r="A2374" s="4" t="str">
        <f>CONCATENATE("3071-0000-0411","")</f>
        <v>3071-0000-0411</v>
      </c>
      <c r="B2374" s="4" t="s">
        <v>190</v>
      </c>
      <c r="C2374" s="5">
        <v>41489</v>
      </c>
      <c r="D2374" s="5">
        <v>41549</v>
      </c>
      <c r="E2374" s="4" t="s">
        <v>7</v>
      </c>
      <c r="F2374" s="4" t="s">
        <v>7</v>
      </c>
    </row>
    <row r="2375" spans="1:6" x14ac:dyDescent="0.25">
      <c r="A2375" s="4" t="str">
        <f>CONCATENATE("3071-0000-0074","")</f>
        <v>3071-0000-0074</v>
      </c>
      <c r="B2375" s="4" t="s">
        <v>140</v>
      </c>
      <c r="C2375" s="5">
        <v>41489</v>
      </c>
      <c r="D2375" s="5">
        <v>41549</v>
      </c>
      <c r="E2375" s="4" t="s">
        <v>7</v>
      </c>
      <c r="F2375" s="4" t="s">
        <v>7</v>
      </c>
    </row>
    <row r="2376" spans="1:6" x14ac:dyDescent="0.25">
      <c r="A2376" s="4" t="str">
        <f>CONCATENATE("3071-0000-2741","")</f>
        <v>3071-0000-2741</v>
      </c>
      <c r="B2376" s="4" t="s">
        <v>832</v>
      </c>
      <c r="C2376" s="5">
        <v>41489</v>
      </c>
      <c r="D2376" s="5">
        <v>41549</v>
      </c>
      <c r="E2376" s="4" t="s">
        <v>7</v>
      </c>
      <c r="F2376" s="4" t="s">
        <v>808</v>
      </c>
    </row>
    <row r="2377" spans="1:6" x14ac:dyDescent="0.25">
      <c r="A2377" s="4" t="str">
        <f>CONCATENATE("3071-0000-3875","")</f>
        <v>3071-0000-3875</v>
      </c>
      <c r="B2377" s="4" t="s">
        <v>4024</v>
      </c>
      <c r="C2377" s="5">
        <v>41489</v>
      </c>
      <c r="D2377" s="5">
        <v>41549</v>
      </c>
      <c r="E2377" s="4" t="s">
        <v>1381</v>
      </c>
      <c r="F2377" s="4" t="s">
        <v>3994</v>
      </c>
    </row>
    <row r="2378" spans="1:6" x14ac:dyDescent="0.25">
      <c r="A2378" s="4" t="str">
        <f>CONCATENATE("3071-0000-4394","")</f>
        <v>3071-0000-4394</v>
      </c>
      <c r="B2378" s="4" t="s">
        <v>9249</v>
      </c>
      <c r="C2378" s="5">
        <v>41489</v>
      </c>
      <c r="D2378" s="5">
        <v>41549</v>
      </c>
      <c r="E2378" s="4" t="s">
        <v>1410</v>
      </c>
      <c r="F2378" s="4" t="s">
        <v>8696</v>
      </c>
    </row>
    <row r="2379" spans="1:6" x14ac:dyDescent="0.25">
      <c r="A2379" s="4" t="str">
        <f>CONCATENATE("3071-0000-4438","")</f>
        <v>3071-0000-4438</v>
      </c>
      <c r="B2379" s="4" t="s">
        <v>9311</v>
      </c>
      <c r="C2379" s="5">
        <v>41489</v>
      </c>
      <c r="D2379" s="5">
        <v>41549</v>
      </c>
      <c r="E2379" s="4" t="s">
        <v>1410</v>
      </c>
      <c r="F2379" s="4" t="s">
        <v>8696</v>
      </c>
    </row>
    <row r="2380" spans="1:6" x14ac:dyDescent="0.25">
      <c r="A2380" s="4" t="str">
        <f>CONCATENATE("3071-0000-4792","")</f>
        <v>3071-0000-4792</v>
      </c>
      <c r="B2380" s="4" t="s">
        <v>9234</v>
      </c>
      <c r="C2380" s="5">
        <v>41489</v>
      </c>
      <c r="D2380" s="5">
        <v>41549</v>
      </c>
      <c r="E2380" s="4" t="s">
        <v>1410</v>
      </c>
      <c r="F2380" s="4" t="s">
        <v>8696</v>
      </c>
    </row>
    <row r="2381" spans="1:6" x14ac:dyDescent="0.25">
      <c r="A2381" s="4" t="str">
        <f>CONCATENATE("3071-0000-4382","")</f>
        <v>3071-0000-4382</v>
      </c>
      <c r="B2381" s="4" t="s">
        <v>9231</v>
      </c>
      <c r="C2381" s="5">
        <v>41489</v>
      </c>
      <c r="D2381" s="5">
        <v>41549</v>
      </c>
      <c r="E2381" s="4" t="s">
        <v>1410</v>
      </c>
      <c r="F2381" s="4" t="s">
        <v>8696</v>
      </c>
    </row>
    <row r="2382" spans="1:6" x14ac:dyDescent="0.25">
      <c r="A2382" s="4" t="str">
        <f>CONCATENATE("3071-0000-8745","")</f>
        <v>3071-0000-8745</v>
      </c>
      <c r="B2382" s="4" t="s">
        <v>6567</v>
      </c>
      <c r="C2382" s="5">
        <v>41489</v>
      </c>
      <c r="D2382" s="5">
        <v>41549</v>
      </c>
      <c r="E2382" s="4" t="s">
        <v>5185</v>
      </c>
      <c r="F2382" s="4" t="s">
        <v>5292</v>
      </c>
    </row>
    <row r="2383" spans="1:6" x14ac:dyDescent="0.25">
      <c r="A2383" s="4" t="str">
        <f>CONCATENATE("3071-0000-6916","")</f>
        <v>3071-0000-6916</v>
      </c>
      <c r="B2383" s="4" t="s">
        <v>4587</v>
      </c>
      <c r="C2383" s="5">
        <v>41489</v>
      </c>
      <c r="D2383" s="5">
        <v>41549</v>
      </c>
      <c r="E2383" s="4" t="s">
        <v>1410</v>
      </c>
      <c r="F2383" s="4" t="s">
        <v>1410</v>
      </c>
    </row>
    <row r="2384" spans="1:6" x14ac:dyDescent="0.25">
      <c r="A2384" s="4" t="str">
        <f>CONCATENATE("3071-0000-0841","")</f>
        <v>3071-0000-0841</v>
      </c>
      <c r="B2384" s="4" t="s">
        <v>1915</v>
      </c>
      <c r="C2384" s="5">
        <v>41489</v>
      </c>
      <c r="D2384" s="5">
        <v>41549</v>
      </c>
      <c r="E2384" s="4" t="s">
        <v>1857</v>
      </c>
      <c r="F2384" s="4" t="s">
        <v>1857</v>
      </c>
    </row>
    <row r="2385" spans="1:6" x14ac:dyDescent="0.25">
      <c r="A2385" s="4" t="str">
        <f>CONCATENATE("3071-0000-0830","")</f>
        <v>3071-0000-0830</v>
      </c>
      <c r="B2385" s="4" t="s">
        <v>1891</v>
      </c>
      <c r="C2385" s="5">
        <v>41489</v>
      </c>
      <c r="D2385" s="5">
        <v>41549</v>
      </c>
      <c r="E2385" s="4" t="s">
        <v>1857</v>
      </c>
      <c r="F2385" s="4" t="s">
        <v>1857</v>
      </c>
    </row>
    <row r="2386" spans="1:6" x14ac:dyDescent="0.25">
      <c r="A2386" s="4" t="str">
        <f>CONCATENATE("3071-0000-4009","")</f>
        <v>3071-0000-4009</v>
      </c>
      <c r="B2386" s="4" t="s">
        <v>4103</v>
      </c>
      <c r="C2386" s="5">
        <v>41489</v>
      </c>
      <c r="D2386" s="5">
        <v>41549</v>
      </c>
      <c r="E2386" s="4" t="s">
        <v>1381</v>
      </c>
      <c r="F2386" s="4" t="s">
        <v>2215</v>
      </c>
    </row>
    <row r="2387" spans="1:6" x14ac:dyDescent="0.25">
      <c r="A2387" s="4" t="str">
        <f>CONCATENATE("3071-0000-3872","")</f>
        <v>3071-0000-3872</v>
      </c>
      <c r="B2387" s="4" t="s">
        <v>4021</v>
      </c>
      <c r="C2387" s="5">
        <v>41489</v>
      </c>
      <c r="D2387" s="5">
        <v>41549</v>
      </c>
      <c r="E2387" s="4" t="s">
        <v>1381</v>
      </c>
      <c r="F2387" s="4" t="s">
        <v>3994</v>
      </c>
    </row>
    <row r="2388" spans="1:6" x14ac:dyDescent="0.25">
      <c r="A2388" s="4" t="str">
        <f>CONCATENATE("3071-0000-9039","")</f>
        <v>3071-0000-9039</v>
      </c>
      <c r="B2388" s="4" t="s">
        <v>6470</v>
      </c>
      <c r="C2388" s="5">
        <v>41489</v>
      </c>
      <c r="D2388" s="5">
        <v>41549</v>
      </c>
      <c r="E2388" s="4" t="s">
        <v>5185</v>
      </c>
      <c r="F2388" s="4" t="s">
        <v>5292</v>
      </c>
    </row>
    <row r="2389" spans="1:6" x14ac:dyDescent="0.25">
      <c r="A2389" s="4" t="str">
        <f>CONCATENATE("3071-0000-2193","")</f>
        <v>3071-0000-2193</v>
      </c>
      <c r="B2389" s="4" t="s">
        <v>3198</v>
      </c>
      <c r="C2389" s="5">
        <v>41489</v>
      </c>
      <c r="D2389" s="5">
        <v>41549</v>
      </c>
      <c r="E2389" s="4" t="s">
        <v>2944</v>
      </c>
      <c r="F2389" s="4" t="s">
        <v>2945</v>
      </c>
    </row>
    <row r="2390" spans="1:6" x14ac:dyDescent="0.25">
      <c r="A2390" s="4" t="str">
        <f>CONCATENATE("3071-0000-3438","")</f>
        <v>3071-0000-3438</v>
      </c>
      <c r="B2390" s="4" t="s">
        <v>1721</v>
      </c>
      <c r="C2390" s="5">
        <v>41489</v>
      </c>
      <c r="D2390" s="5">
        <v>41549</v>
      </c>
      <c r="E2390" s="4" t="s">
        <v>1410</v>
      </c>
      <c r="F2390" s="4" t="s">
        <v>1411</v>
      </c>
    </row>
    <row r="2391" spans="1:6" x14ac:dyDescent="0.25">
      <c r="A2391" s="4" t="str">
        <f>CONCATENATE("3071-0000-2613","")</f>
        <v>3071-0000-2613</v>
      </c>
      <c r="B2391" s="4" t="s">
        <v>3072</v>
      </c>
      <c r="C2391" s="5">
        <v>41489</v>
      </c>
      <c r="D2391" s="5">
        <v>41549</v>
      </c>
      <c r="E2391" s="4" t="s">
        <v>2944</v>
      </c>
      <c r="F2391" s="4" t="s">
        <v>2945</v>
      </c>
    </row>
    <row r="2392" spans="1:6" x14ac:dyDescent="0.25">
      <c r="A2392" s="4" t="str">
        <f>CONCATENATE("3071-0000-3352","")</f>
        <v>3071-0000-3352</v>
      </c>
      <c r="B2392" s="4" t="s">
        <v>1481</v>
      </c>
      <c r="C2392" s="5">
        <v>41489</v>
      </c>
      <c r="D2392" s="5">
        <v>41549</v>
      </c>
      <c r="E2392" s="4" t="s">
        <v>1410</v>
      </c>
      <c r="F2392" s="4" t="s">
        <v>1411</v>
      </c>
    </row>
    <row r="2393" spans="1:6" x14ac:dyDescent="0.25">
      <c r="A2393" s="4" t="str">
        <f>CONCATENATE("3071-0000-1648","")</f>
        <v>3071-0000-1648</v>
      </c>
      <c r="B2393" s="4" t="s">
        <v>2713</v>
      </c>
      <c r="C2393" s="5">
        <v>41489</v>
      </c>
      <c r="D2393" s="5">
        <v>41549</v>
      </c>
      <c r="E2393" s="4" t="s">
        <v>1381</v>
      </c>
      <c r="F2393" s="4" t="s">
        <v>2303</v>
      </c>
    </row>
    <row r="2394" spans="1:6" x14ac:dyDescent="0.25">
      <c r="A2394" s="4" t="str">
        <f>CONCATENATE("3071-0000-4794","")</f>
        <v>3071-0000-4794</v>
      </c>
      <c r="B2394" s="4" t="s">
        <v>9546</v>
      </c>
      <c r="C2394" s="5">
        <v>41489</v>
      </c>
      <c r="D2394" s="5">
        <v>41549</v>
      </c>
      <c r="E2394" s="4" t="s">
        <v>1410</v>
      </c>
      <c r="F2394" s="4" t="s">
        <v>8696</v>
      </c>
    </row>
    <row r="2395" spans="1:6" x14ac:dyDescent="0.25">
      <c r="A2395" s="4" t="str">
        <f>CONCATENATE("3071-0000-1462","")</f>
        <v>3071-0000-1462</v>
      </c>
      <c r="B2395" s="4" t="s">
        <v>2898</v>
      </c>
      <c r="C2395" s="5">
        <v>41489</v>
      </c>
      <c r="D2395" s="5">
        <v>41549</v>
      </c>
      <c r="E2395" s="4" t="s">
        <v>1381</v>
      </c>
      <c r="F2395" s="4" t="s">
        <v>2303</v>
      </c>
    </row>
    <row r="2396" spans="1:6" x14ac:dyDescent="0.25">
      <c r="A2396" s="4" t="str">
        <f>CONCATENATE("3071-0000-4681","")</f>
        <v>3071-0000-4681</v>
      </c>
      <c r="B2396" s="4" t="s">
        <v>9194</v>
      </c>
      <c r="C2396" s="5">
        <v>41489</v>
      </c>
      <c r="D2396" s="5">
        <v>41549</v>
      </c>
      <c r="E2396" s="4" t="s">
        <v>1410</v>
      </c>
      <c r="F2396" s="4" t="s">
        <v>8696</v>
      </c>
    </row>
    <row r="2397" spans="1:6" x14ac:dyDescent="0.25">
      <c r="A2397" s="4" t="str">
        <f>CONCATENATE("3071-0000-1463","")</f>
        <v>3071-0000-1463</v>
      </c>
      <c r="B2397" s="4" t="s">
        <v>2906</v>
      </c>
      <c r="C2397" s="5">
        <v>41489</v>
      </c>
      <c r="D2397" s="5">
        <v>41549</v>
      </c>
      <c r="E2397" s="4" t="s">
        <v>1381</v>
      </c>
      <c r="F2397" s="4" t="s">
        <v>2303</v>
      </c>
    </row>
    <row r="2398" spans="1:6" x14ac:dyDescent="0.25">
      <c r="A2398" s="4" t="str">
        <f>CONCATENATE("3071-0000-1842","")</f>
        <v>3071-0000-1842</v>
      </c>
      <c r="B2398" s="4" t="s">
        <v>2728</v>
      </c>
      <c r="C2398" s="5">
        <v>41489</v>
      </c>
      <c r="D2398" s="5">
        <v>41549</v>
      </c>
      <c r="E2398" s="4" t="s">
        <v>1381</v>
      </c>
      <c r="F2398" s="4" t="s">
        <v>2662</v>
      </c>
    </row>
    <row r="2399" spans="1:6" x14ac:dyDescent="0.25">
      <c r="A2399" s="4" t="str">
        <f>CONCATENATE("3071-0000-2795","")</f>
        <v>3071-0000-2795</v>
      </c>
      <c r="B2399" s="4" t="s">
        <v>994</v>
      </c>
      <c r="C2399" s="5">
        <v>41489</v>
      </c>
      <c r="D2399" s="5">
        <v>41549</v>
      </c>
      <c r="E2399" s="4" t="s">
        <v>7</v>
      </c>
      <c r="F2399" s="4" t="s">
        <v>808</v>
      </c>
    </row>
    <row r="2400" spans="1:6" x14ac:dyDescent="0.25">
      <c r="A2400" s="4" t="str">
        <f>CONCATENATE("3071-0000-2808","")</f>
        <v>3071-0000-2808</v>
      </c>
      <c r="B2400" s="4" t="s">
        <v>1048</v>
      </c>
      <c r="C2400" s="5">
        <v>41489</v>
      </c>
      <c r="D2400" s="5">
        <v>41549</v>
      </c>
      <c r="E2400" s="4" t="s">
        <v>7</v>
      </c>
      <c r="F2400" s="4" t="s">
        <v>808</v>
      </c>
    </row>
    <row r="2401" spans="1:6" x14ac:dyDescent="0.25">
      <c r="A2401" s="4" t="str">
        <f>CONCATENATE("3071-0000-8503","")</f>
        <v>3071-0000-8503</v>
      </c>
      <c r="B2401" s="4" t="s">
        <v>5765</v>
      </c>
      <c r="C2401" s="5">
        <v>41489</v>
      </c>
      <c r="D2401" s="5">
        <v>41549</v>
      </c>
      <c r="E2401" s="4" t="s">
        <v>5185</v>
      </c>
      <c r="F2401" s="4" t="s">
        <v>5763</v>
      </c>
    </row>
    <row r="2402" spans="1:6" x14ac:dyDescent="0.25">
      <c r="A2402" s="4" t="str">
        <f>CONCATENATE("3071-0000-1190","")</f>
        <v>3071-0000-1190</v>
      </c>
      <c r="B2402" s="4" t="s">
        <v>2060</v>
      </c>
      <c r="C2402" s="5">
        <v>41489</v>
      </c>
      <c r="D2402" s="5">
        <v>41549</v>
      </c>
      <c r="E2402" s="4" t="s">
        <v>1857</v>
      </c>
      <c r="F2402" s="4" t="s">
        <v>2056</v>
      </c>
    </row>
    <row r="2403" spans="1:6" x14ac:dyDescent="0.25">
      <c r="A2403" s="4" t="str">
        <f>CONCATENATE("3071-0000-9052","")</f>
        <v>3071-0000-9052</v>
      </c>
      <c r="B2403" s="4" t="s">
        <v>5652</v>
      </c>
      <c r="C2403" s="5">
        <v>41489</v>
      </c>
      <c r="D2403" s="5">
        <v>41549</v>
      </c>
      <c r="E2403" s="4" t="s">
        <v>5185</v>
      </c>
      <c r="F2403" s="4" t="s">
        <v>5250</v>
      </c>
    </row>
    <row r="2404" spans="1:6" x14ac:dyDescent="0.25">
      <c r="A2404" s="4" t="str">
        <f>CONCATENATE("3071-0000-1216","")</f>
        <v>3071-0000-1216</v>
      </c>
      <c r="B2404" s="4" t="s">
        <v>2120</v>
      </c>
      <c r="C2404" s="5">
        <v>41489</v>
      </c>
      <c r="D2404" s="5">
        <v>41549</v>
      </c>
      <c r="E2404" s="4" t="s">
        <v>1857</v>
      </c>
      <c r="F2404" s="4" t="s">
        <v>2108</v>
      </c>
    </row>
    <row r="2405" spans="1:6" x14ac:dyDescent="0.25">
      <c r="A2405" s="4" t="str">
        <f>CONCATENATE("3071-0000-5430","")</f>
        <v>3071-0000-5430</v>
      </c>
      <c r="B2405" s="4" t="s">
        <v>6611</v>
      </c>
      <c r="C2405" s="5">
        <v>41489</v>
      </c>
      <c r="D2405" s="5">
        <v>41549</v>
      </c>
      <c r="E2405" s="4" t="s">
        <v>5185</v>
      </c>
      <c r="F2405" s="4" t="s">
        <v>5185</v>
      </c>
    </row>
    <row r="2406" spans="1:6" x14ac:dyDescent="0.25">
      <c r="A2406" s="4" t="str">
        <f>CONCATENATE("3071-0000-7131","")</f>
        <v>3071-0000-7131</v>
      </c>
      <c r="B2406" s="4" t="s">
        <v>4958</v>
      </c>
      <c r="C2406" s="5">
        <v>41489</v>
      </c>
      <c r="D2406" s="5">
        <v>41549</v>
      </c>
      <c r="E2406" s="4" t="s">
        <v>1410</v>
      </c>
      <c r="F2406" s="4" t="s">
        <v>1410</v>
      </c>
    </row>
    <row r="2407" spans="1:6" x14ac:dyDescent="0.25">
      <c r="A2407" s="4" t="str">
        <f>CONCATENATE("3071-0000-7932","")</f>
        <v>3071-0000-7932</v>
      </c>
      <c r="B2407" s="4" t="s">
        <v>5561</v>
      </c>
      <c r="C2407" s="5">
        <v>41489</v>
      </c>
      <c r="D2407" s="5">
        <v>41549</v>
      </c>
      <c r="E2407" s="4" t="s">
        <v>5185</v>
      </c>
      <c r="F2407" s="4" t="s">
        <v>5185</v>
      </c>
    </row>
    <row r="2408" spans="1:6" x14ac:dyDescent="0.25">
      <c r="A2408" s="4" t="str">
        <f>CONCATENATE("3071-0000-9203","")</f>
        <v>3071-0000-9203</v>
      </c>
      <c r="B2408" s="4" t="s">
        <v>5604</v>
      </c>
      <c r="C2408" s="5">
        <v>41489</v>
      </c>
      <c r="D2408" s="5">
        <v>41549</v>
      </c>
      <c r="E2408" s="4" t="s">
        <v>5185</v>
      </c>
      <c r="F2408" s="4" t="s">
        <v>5250</v>
      </c>
    </row>
    <row r="2409" spans="1:6" x14ac:dyDescent="0.25">
      <c r="A2409" s="4" t="str">
        <f>CONCATENATE("3071-0000-7953","")</f>
        <v>3071-0000-7953</v>
      </c>
      <c r="B2409" s="4" t="s">
        <v>5591</v>
      </c>
      <c r="C2409" s="5">
        <v>41489</v>
      </c>
      <c r="D2409" s="5">
        <v>41549</v>
      </c>
      <c r="E2409" s="4" t="s">
        <v>5185</v>
      </c>
      <c r="F2409" s="4" t="s">
        <v>5185</v>
      </c>
    </row>
    <row r="2410" spans="1:6" x14ac:dyDescent="0.25">
      <c r="A2410" s="4" t="str">
        <f>CONCATENATE("3071-0000-8134","")</f>
        <v>3071-0000-8134</v>
      </c>
      <c r="B2410" s="4" t="s">
        <v>5881</v>
      </c>
      <c r="C2410" s="5">
        <v>41489</v>
      </c>
      <c r="D2410" s="5">
        <v>41549</v>
      </c>
      <c r="E2410" s="4" t="s">
        <v>5185</v>
      </c>
      <c r="F2410" s="4" t="s">
        <v>4188</v>
      </c>
    </row>
    <row r="2411" spans="1:6" x14ac:dyDescent="0.25">
      <c r="A2411" s="4" t="str">
        <f>CONCATENATE("3071-0000-8737","")</f>
        <v>3071-0000-8737</v>
      </c>
      <c r="B2411" s="4" t="s">
        <v>6531</v>
      </c>
      <c r="C2411" s="5">
        <v>41489</v>
      </c>
      <c r="D2411" s="5">
        <v>41549</v>
      </c>
      <c r="E2411" s="4" t="s">
        <v>5185</v>
      </c>
      <c r="F2411" s="4" t="s">
        <v>5292</v>
      </c>
    </row>
    <row r="2412" spans="1:6" x14ac:dyDescent="0.25">
      <c r="A2412" s="4" t="str">
        <f>CONCATENATE("3071-0000-8010","")</f>
        <v>3071-0000-8010</v>
      </c>
      <c r="B2412" s="4" t="s">
        <v>5680</v>
      </c>
      <c r="C2412" s="5">
        <v>41489</v>
      </c>
      <c r="D2412" s="5">
        <v>41549</v>
      </c>
      <c r="E2412" s="4" t="s">
        <v>5185</v>
      </c>
      <c r="F2412" s="4" t="s">
        <v>5185</v>
      </c>
    </row>
    <row r="2413" spans="1:6" x14ac:dyDescent="0.25">
      <c r="A2413" s="4" t="str">
        <f>CONCATENATE("3071-0000-8031","")</f>
        <v>3071-0000-8031</v>
      </c>
      <c r="B2413" s="4" t="s">
        <v>5682</v>
      </c>
      <c r="C2413" s="5">
        <v>41489</v>
      </c>
      <c r="D2413" s="5">
        <v>41549</v>
      </c>
      <c r="E2413" s="4" t="s">
        <v>5185</v>
      </c>
      <c r="F2413" s="4" t="s">
        <v>5185</v>
      </c>
    </row>
    <row r="2414" spans="1:6" x14ac:dyDescent="0.25">
      <c r="A2414" s="4" t="str">
        <f>CONCATENATE("3071-0000-8086","")</f>
        <v>3071-0000-8086</v>
      </c>
      <c r="B2414" s="4" t="s">
        <v>5676</v>
      </c>
      <c r="C2414" s="5">
        <v>41489</v>
      </c>
      <c r="D2414" s="5">
        <v>41549</v>
      </c>
      <c r="E2414" s="4" t="s">
        <v>5185</v>
      </c>
      <c r="F2414" s="4" t="s">
        <v>5185</v>
      </c>
    </row>
    <row r="2415" spans="1:6" x14ac:dyDescent="0.25">
      <c r="A2415" s="4" t="str">
        <f>CONCATENATE("3071-0000-8014","")</f>
        <v>3071-0000-8014</v>
      </c>
      <c r="B2415" s="4" t="s">
        <v>5669</v>
      </c>
      <c r="C2415" s="5">
        <v>41489</v>
      </c>
      <c r="D2415" s="5">
        <v>41549</v>
      </c>
      <c r="E2415" s="4" t="s">
        <v>5185</v>
      </c>
      <c r="F2415" s="4" t="s">
        <v>5185</v>
      </c>
    </row>
    <row r="2416" spans="1:6" x14ac:dyDescent="0.25">
      <c r="A2416" s="4" t="str">
        <f>CONCATENATE("3071-0000-8012","")</f>
        <v>3071-0000-8012</v>
      </c>
      <c r="B2416" s="4" t="s">
        <v>5667</v>
      </c>
      <c r="C2416" s="5">
        <v>41489</v>
      </c>
      <c r="D2416" s="5">
        <v>41549</v>
      </c>
      <c r="E2416" s="4" t="s">
        <v>5185</v>
      </c>
      <c r="F2416" s="4" t="s">
        <v>5185</v>
      </c>
    </row>
    <row r="2417" spans="1:6" x14ac:dyDescent="0.25">
      <c r="A2417" s="4" t="str">
        <f>CONCATENATE("3071-0000-6492","")</f>
        <v>3071-0000-6492</v>
      </c>
      <c r="B2417" s="4" t="s">
        <v>7777</v>
      </c>
      <c r="C2417" s="5">
        <v>41489</v>
      </c>
      <c r="D2417" s="5">
        <v>41549</v>
      </c>
      <c r="E2417" s="4" t="s">
        <v>5185</v>
      </c>
      <c r="F2417" s="4" t="s">
        <v>5185</v>
      </c>
    </row>
    <row r="2418" spans="1:6" x14ac:dyDescent="0.25">
      <c r="A2418" s="4" t="str">
        <f>CONCATENATE("3071-0000-2562","")</f>
        <v>3071-0000-2562</v>
      </c>
      <c r="B2418" s="4" t="s">
        <v>3696</v>
      </c>
      <c r="C2418" s="5">
        <v>41489</v>
      </c>
      <c r="D2418" s="5">
        <v>41549</v>
      </c>
      <c r="E2418" s="4" t="s">
        <v>2944</v>
      </c>
      <c r="F2418" s="4" t="s">
        <v>3164</v>
      </c>
    </row>
    <row r="2419" spans="1:6" x14ac:dyDescent="0.25">
      <c r="A2419" s="4" t="str">
        <f>CONCATENATE("3071-0000-1406","")</f>
        <v>3071-0000-1406</v>
      </c>
      <c r="B2419" s="4" t="s">
        <v>2628</v>
      </c>
      <c r="C2419" s="5">
        <v>41489</v>
      </c>
      <c r="D2419" s="5">
        <v>41549</v>
      </c>
      <c r="E2419" s="4" t="s">
        <v>1381</v>
      </c>
      <c r="F2419" s="4" t="s">
        <v>2303</v>
      </c>
    </row>
    <row r="2420" spans="1:6" x14ac:dyDescent="0.25">
      <c r="A2420" s="4" t="str">
        <f>CONCATENATE("3071-0000-1759","")</f>
        <v>3071-0000-1759</v>
      </c>
      <c r="B2420" s="4" t="s">
        <v>2361</v>
      </c>
      <c r="C2420" s="5">
        <v>41489</v>
      </c>
      <c r="D2420" s="5">
        <v>41549</v>
      </c>
      <c r="E2420" s="4" t="s">
        <v>1381</v>
      </c>
      <c r="F2420" s="4" t="s">
        <v>2319</v>
      </c>
    </row>
    <row r="2421" spans="1:6" x14ac:dyDescent="0.25">
      <c r="A2421" s="4" t="str">
        <f>CONCATENATE("3071-0000-1798","")</f>
        <v>3071-0000-1798</v>
      </c>
      <c r="B2421" s="4" t="s">
        <v>2737</v>
      </c>
      <c r="C2421" s="5">
        <v>41489</v>
      </c>
      <c r="D2421" s="5">
        <v>41549</v>
      </c>
      <c r="E2421" s="4" t="s">
        <v>1381</v>
      </c>
      <c r="F2421" s="4" t="s">
        <v>2303</v>
      </c>
    </row>
    <row r="2422" spans="1:6" x14ac:dyDescent="0.25">
      <c r="A2422" s="4" t="str">
        <f>CONCATENATE("3071-0000-1402","")</f>
        <v>3071-0000-1402</v>
      </c>
      <c r="B2422" s="4" t="s">
        <v>2624</v>
      </c>
      <c r="C2422" s="5">
        <v>41489</v>
      </c>
      <c r="D2422" s="5">
        <v>41549</v>
      </c>
      <c r="E2422" s="4" t="s">
        <v>1381</v>
      </c>
      <c r="F2422" s="4" t="s">
        <v>2303</v>
      </c>
    </row>
    <row r="2423" spans="1:6" x14ac:dyDescent="0.25">
      <c r="A2423" s="4" t="str">
        <f>CONCATENATE("3071-0000-1425","")</f>
        <v>3071-0000-1425</v>
      </c>
      <c r="B2423" s="4" t="s">
        <v>2652</v>
      </c>
      <c r="C2423" s="5">
        <v>41489</v>
      </c>
      <c r="D2423" s="5">
        <v>41549</v>
      </c>
      <c r="E2423" s="4" t="s">
        <v>1381</v>
      </c>
      <c r="F2423" s="4" t="s">
        <v>2303</v>
      </c>
    </row>
    <row r="2424" spans="1:6" x14ac:dyDescent="0.25">
      <c r="A2424" s="4" t="str">
        <f>CONCATENATE("3071-0000-1319","")</f>
        <v>3071-0000-1319</v>
      </c>
      <c r="B2424" s="4" t="s">
        <v>2441</v>
      </c>
      <c r="C2424" s="5">
        <v>41489</v>
      </c>
      <c r="D2424" s="5">
        <v>41549</v>
      </c>
      <c r="E2424" s="4" t="s">
        <v>1381</v>
      </c>
      <c r="F2424" s="4" t="s">
        <v>2303</v>
      </c>
    </row>
    <row r="2425" spans="1:6" x14ac:dyDescent="0.25">
      <c r="A2425" s="4" t="str">
        <f>CONCATENATE("3071-0000-0578","")</f>
        <v>3071-0000-0578</v>
      </c>
      <c r="B2425" s="4" t="s">
        <v>240</v>
      </c>
      <c r="C2425" s="5">
        <v>41489</v>
      </c>
      <c r="D2425" s="5">
        <v>41549</v>
      </c>
      <c r="E2425" s="4" t="s">
        <v>7</v>
      </c>
      <c r="F2425" s="4" t="s">
        <v>7</v>
      </c>
    </row>
    <row r="2426" spans="1:6" x14ac:dyDescent="0.25">
      <c r="A2426" s="4" t="str">
        <f>CONCATENATE("3071-0000-1409","")</f>
        <v>3071-0000-1409</v>
      </c>
      <c r="B2426" s="4" t="s">
        <v>2631</v>
      </c>
      <c r="C2426" s="5">
        <v>41489</v>
      </c>
      <c r="D2426" s="5">
        <v>41549</v>
      </c>
      <c r="E2426" s="4" t="s">
        <v>1381</v>
      </c>
      <c r="F2426" s="4" t="s">
        <v>2303</v>
      </c>
    </row>
    <row r="2427" spans="1:6" x14ac:dyDescent="0.25">
      <c r="A2427" s="4" t="str">
        <f>CONCATENATE("3071-0000-2409","")</f>
        <v>3071-0000-2409</v>
      </c>
      <c r="B2427" s="4" t="s">
        <v>3230</v>
      </c>
      <c r="C2427" s="5">
        <v>41489</v>
      </c>
      <c r="D2427" s="5">
        <v>41549</v>
      </c>
      <c r="E2427" s="4" t="s">
        <v>2944</v>
      </c>
      <c r="F2427" s="4" t="s">
        <v>3164</v>
      </c>
    </row>
    <row r="2428" spans="1:6" x14ac:dyDescent="0.25">
      <c r="A2428" s="4" t="str">
        <f>CONCATENATE("3071-0000-0234","")</f>
        <v>3071-0000-0234</v>
      </c>
      <c r="B2428" s="4" t="s">
        <v>519</v>
      </c>
      <c r="C2428" s="5">
        <v>41489</v>
      </c>
      <c r="D2428" s="5">
        <v>41549</v>
      </c>
      <c r="E2428" s="4" t="s">
        <v>7</v>
      </c>
      <c r="F2428" s="4" t="s">
        <v>7</v>
      </c>
    </row>
    <row r="2429" spans="1:6" x14ac:dyDescent="0.25">
      <c r="A2429" s="4" t="str">
        <f>CONCATENATE("3071-0000-6153","")</f>
        <v>3071-0000-6153</v>
      </c>
      <c r="B2429" s="4" t="s">
        <v>7719</v>
      </c>
      <c r="C2429" s="5">
        <v>41489</v>
      </c>
      <c r="D2429" s="5">
        <v>41549</v>
      </c>
      <c r="E2429" s="4" t="s">
        <v>1410</v>
      </c>
      <c r="F2429" s="4" t="s">
        <v>1410</v>
      </c>
    </row>
    <row r="2430" spans="1:6" x14ac:dyDescent="0.25">
      <c r="A2430" s="4" t="str">
        <f>CONCATENATE("3071-0000-4372","")</f>
        <v>3071-0000-4372</v>
      </c>
      <c r="B2430" s="4" t="s">
        <v>9215</v>
      </c>
      <c r="C2430" s="5">
        <v>41489</v>
      </c>
      <c r="D2430" s="5">
        <v>41549</v>
      </c>
      <c r="E2430" s="4" t="s">
        <v>7069</v>
      </c>
      <c r="F2430" s="4" t="s">
        <v>9210</v>
      </c>
    </row>
    <row r="2431" spans="1:6" x14ac:dyDescent="0.25">
      <c r="A2431" s="4" t="str">
        <f>CONCATENATE("3071-0000-2569","")</f>
        <v>3071-0000-2569</v>
      </c>
      <c r="B2431" s="4" t="s">
        <v>3251</v>
      </c>
      <c r="C2431" s="5">
        <v>41489</v>
      </c>
      <c r="D2431" s="5">
        <v>41549</v>
      </c>
      <c r="E2431" s="4" t="s">
        <v>2944</v>
      </c>
      <c r="F2431" s="4" t="s">
        <v>3164</v>
      </c>
    </row>
    <row r="2432" spans="1:6" x14ac:dyDescent="0.25">
      <c r="A2432" s="4" t="str">
        <f>CONCATENATE("3071-0000-1414","")</f>
        <v>3071-0000-1414</v>
      </c>
      <c r="B2432" s="4" t="s">
        <v>2638</v>
      </c>
      <c r="C2432" s="5">
        <v>41489</v>
      </c>
      <c r="D2432" s="5">
        <v>41549</v>
      </c>
      <c r="E2432" s="4" t="s">
        <v>1381</v>
      </c>
      <c r="F2432" s="4" t="s">
        <v>2303</v>
      </c>
    </row>
    <row r="2433" spans="1:6" x14ac:dyDescent="0.25">
      <c r="A2433" s="4" t="str">
        <f>CONCATENATE("3071-0000-2076","")</f>
        <v>3071-0000-2076</v>
      </c>
      <c r="B2433" s="4" t="s">
        <v>3457</v>
      </c>
      <c r="C2433" s="5">
        <v>41489</v>
      </c>
      <c r="D2433" s="5">
        <v>41549</v>
      </c>
      <c r="E2433" s="4" t="s">
        <v>2944</v>
      </c>
      <c r="F2433" s="4" t="s">
        <v>2945</v>
      </c>
    </row>
    <row r="2434" spans="1:6" x14ac:dyDescent="0.25">
      <c r="A2434" s="4" t="str">
        <f>CONCATENATE("3071-0000-2718","")</f>
        <v>3071-0000-2718</v>
      </c>
      <c r="B2434" s="4" t="s">
        <v>3188</v>
      </c>
      <c r="C2434" s="5">
        <v>41489</v>
      </c>
      <c r="D2434" s="5">
        <v>41549</v>
      </c>
      <c r="E2434" s="4" t="s">
        <v>2944</v>
      </c>
      <c r="F2434" s="4" t="s">
        <v>3164</v>
      </c>
    </row>
    <row r="2435" spans="1:6" x14ac:dyDescent="0.25">
      <c r="A2435" s="4" t="str">
        <f>CONCATENATE("3071-0000-4024","")</f>
        <v>3071-0000-4024</v>
      </c>
      <c r="B2435" s="4" t="s">
        <v>4235</v>
      </c>
      <c r="C2435" s="5">
        <v>41489</v>
      </c>
      <c r="D2435" s="5">
        <v>41549</v>
      </c>
      <c r="E2435" s="4" t="s">
        <v>7</v>
      </c>
      <c r="F2435" s="4" t="s">
        <v>1419</v>
      </c>
    </row>
    <row r="2436" spans="1:6" x14ac:dyDescent="0.25">
      <c r="A2436" s="4" t="str">
        <f>CONCATENATE("3071-0000-4038","")</f>
        <v>3071-0000-4038</v>
      </c>
      <c r="B2436" s="4" t="s">
        <v>4238</v>
      </c>
      <c r="C2436" s="5">
        <v>41489</v>
      </c>
      <c r="D2436" s="5">
        <v>41549</v>
      </c>
      <c r="E2436" s="4" t="s">
        <v>7</v>
      </c>
      <c r="F2436" s="4" t="s">
        <v>3818</v>
      </c>
    </row>
    <row r="2437" spans="1:6" x14ac:dyDescent="0.25">
      <c r="A2437" s="4" t="str">
        <f>CONCATENATE("3071-0000-1722","")</f>
        <v>3071-0000-1722</v>
      </c>
      <c r="B2437" s="4" t="s">
        <v>2634</v>
      </c>
      <c r="C2437" s="5">
        <v>41489</v>
      </c>
      <c r="D2437" s="5">
        <v>41549</v>
      </c>
      <c r="E2437" s="4" t="s">
        <v>1381</v>
      </c>
      <c r="F2437" s="4" t="s">
        <v>2319</v>
      </c>
    </row>
    <row r="2438" spans="1:6" x14ac:dyDescent="0.25">
      <c r="A2438" s="4" t="str">
        <f>CONCATENATE("3071-0000-1411","")</f>
        <v>3071-0000-1411</v>
      </c>
      <c r="B2438" s="4" t="s">
        <v>2635</v>
      </c>
      <c r="C2438" s="5">
        <v>41489</v>
      </c>
      <c r="D2438" s="5">
        <v>41549</v>
      </c>
      <c r="E2438" s="4" t="s">
        <v>1381</v>
      </c>
      <c r="F2438" s="4" t="s">
        <v>2303</v>
      </c>
    </row>
    <row r="2439" spans="1:6" x14ac:dyDescent="0.25">
      <c r="A2439" s="4" t="str">
        <f>CONCATENATE("3071-0000-1606","")</f>
        <v>3071-0000-1606</v>
      </c>
      <c r="B2439" s="4" t="s">
        <v>2388</v>
      </c>
      <c r="C2439" s="5">
        <v>41489</v>
      </c>
      <c r="D2439" s="5">
        <v>41549</v>
      </c>
      <c r="E2439" s="4" t="s">
        <v>1381</v>
      </c>
      <c r="F2439" s="4" t="s">
        <v>2303</v>
      </c>
    </row>
    <row r="2440" spans="1:6" x14ac:dyDescent="0.25">
      <c r="A2440" s="4" t="str">
        <f>CONCATENATE("3071-0000-2472","")</f>
        <v>3071-0000-2472</v>
      </c>
      <c r="B2440" s="4" t="s">
        <v>3166</v>
      </c>
      <c r="C2440" s="5">
        <v>41489</v>
      </c>
      <c r="D2440" s="5">
        <v>41549</v>
      </c>
      <c r="E2440" s="4" t="s">
        <v>2944</v>
      </c>
      <c r="F2440" s="4" t="s">
        <v>3164</v>
      </c>
    </row>
    <row r="2441" spans="1:6" x14ac:dyDescent="0.25">
      <c r="A2441" s="4" t="str">
        <f>CONCATENATE("3071-0000-4303","")</f>
        <v>3071-0000-4303</v>
      </c>
      <c r="B2441" s="4" t="s">
        <v>8858</v>
      </c>
      <c r="C2441" s="5">
        <v>41489</v>
      </c>
      <c r="D2441" s="5">
        <v>41549</v>
      </c>
      <c r="E2441" s="4" t="s">
        <v>1410</v>
      </c>
      <c r="F2441" s="4" t="s">
        <v>8696</v>
      </c>
    </row>
    <row r="2442" spans="1:6" x14ac:dyDescent="0.25">
      <c r="A2442" s="4" t="str">
        <f>CONCATENATE("3071-0000-4427","")</f>
        <v>3071-0000-4427</v>
      </c>
      <c r="B2442" s="4" t="s">
        <v>9297</v>
      </c>
      <c r="C2442" s="5">
        <v>41489</v>
      </c>
      <c r="D2442" s="5">
        <v>41549</v>
      </c>
      <c r="E2442" s="4" t="s">
        <v>1410</v>
      </c>
      <c r="F2442" s="4" t="s">
        <v>8696</v>
      </c>
    </row>
    <row r="2443" spans="1:6" x14ac:dyDescent="0.25">
      <c r="A2443" s="4" t="str">
        <f>CONCATENATE("3071-0000-1793","")</f>
        <v>3071-0000-1793</v>
      </c>
      <c r="B2443" s="4" t="s">
        <v>2654</v>
      </c>
      <c r="C2443" s="5">
        <v>41489</v>
      </c>
      <c r="D2443" s="5">
        <v>41549</v>
      </c>
      <c r="E2443" s="4" t="s">
        <v>1381</v>
      </c>
      <c r="F2443" s="4" t="s">
        <v>2319</v>
      </c>
    </row>
    <row r="2444" spans="1:6" x14ac:dyDescent="0.25">
      <c r="A2444" s="4" t="str">
        <f>CONCATENATE("3071-0000-1905","")</f>
        <v>3071-0000-1905</v>
      </c>
      <c r="B2444" s="4" t="s">
        <v>2982</v>
      </c>
      <c r="C2444" s="5">
        <v>41489</v>
      </c>
      <c r="D2444" s="5">
        <v>41549</v>
      </c>
      <c r="E2444" s="4" t="s">
        <v>2944</v>
      </c>
      <c r="F2444" s="4" t="s">
        <v>2945</v>
      </c>
    </row>
    <row r="2445" spans="1:6" x14ac:dyDescent="0.25">
      <c r="A2445" s="4" t="str">
        <f>CONCATENATE("3071-0000-3440","")</f>
        <v>3071-0000-3440</v>
      </c>
      <c r="B2445" s="4" t="s">
        <v>1724</v>
      </c>
      <c r="C2445" s="5">
        <v>41489</v>
      </c>
      <c r="D2445" s="5">
        <v>41549</v>
      </c>
      <c r="E2445" s="4" t="s">
        <v>1410</v>
      </c>
      <c r="F2445" s="4" t="s">
        <v>1411</v>
      </c>
    </row>
    <row r="2446" spans="1:6" x14ac:dyDescent="0.25">
      <c r="A2446" s="4" t="str">
        <f>CONCATENATE("3071-0000-3883","")</f>
        <v>3071-0000-3883</v>
      </c>
      <c r="B2446" s="4" t="s">
        <v>4095</v>
      </c>
      <c r="C2446" s="5">
        <v>41489</v>
      </c>
      <c r="D2446" s="5">
        <v>41549</v>
      </c>
      <c r="E2446" s="4" t="s">
        <v>2944</v>
      </c>
      <c r="F2446" s="4" t="s">
        <v>3513</v>
      </c>
    </row>
    <row r="2447" spans="1:6" x14ac:dyDescent="0.25">
      <c r="A2447" s="4" t="str">
        <f>CONCATENATE("3071-0000-1252","")</f>
        <v>3071-0000-1252</v>
      </c>
      <c r="B2447" s="4" t="s">
        <v>2340</v>
      </c>
      <c r="C2447" s="5">
        <v>41489</v>
      </c>
      <c r="D2447" s="5">
        <v>41549</v>
      </c>
      <c r="E2447" s="4" t="s">
        <v>1381</v>
      </c>
      <c r="F2447" s="4" t="s">
        <v>2303</v>
      </c>
    </row>
    <row r="2448" spans="1:6" x14ac:dyDescent="0.25">
      <c r="A2448" s="4" t="str">
        <f>CONCATENATE("3071-0000-4216","")</f>
        <v>3071-0000-4216</v>
      </c>
      <c r="B2448" s="4" t="s">
        <v>3896</v>
      </c>
      <c r="C2448" s="5">
        <v>41489</v>
      </c>
      <c r="D2448" s="5">
        <v>41549</v>
      </c>
      <c r="E2448" s="4" t="s">
        <v>7</v>
      </c>
      <c r="F2448" s="4" t="s">
        <v>3818</v>
      </c>
    </row>
    <row r="2449" spans="1:6" x14ac:dyDescent="0.25">
      <c r="A2449" s="4" t="str">
        <f>CONCATENATE("3071-0000-3891","")</f>
        <v>3071-0000-3891</v>
      </c>
      <c r="B2449" s="4" t="s">
        <v>4109</v>
      </c>
      <c r="C2449" s="5">
        <v>41489</v>
      </c>
      <c r="D2449" s="5">
        <v>41549</v>
      </c>
      <c r="E2449" s="4" t="s">
        <v>2944</v>
      </c>
      <c r="F2449" s="4" t="s">
        <v>3513</v>
      </c>
    </row>
    <row r="2450" spans="1:6" x14ac:dyDescent="0.25">
      <c r="A2450" s="4" t="str">
        <f>CONCATENATE("3071-0000-2614","")</f>
        <v>3071-0000-2614</v>
      </c>
      <c r="B2450" s="4" t="s">
        <v>3138</v>
      </c>
      <c r="C2450" s="5">
        <v>41489</v>
      </c>
      <c r="D2450" s="5">
        <v>41549</v>
      </c>
      <c r="E2450" s="4" t="s">
        <v>2944</v>
      </c>
      <c r="F2450" s="4" t="s">
        <v>3115</v>
      </c>
    </row>
    <row r="2451" spans="1:6" x14ac:dyDescent="0.25">
      <c r="A2451" s="4" t="str">
        <f>CONCATENATE("3071-0000-2990","")</f>
        <v>3071-0000-2990</v>
      </c>
      <c r="B2451" s="4" t="s">
        <v>1210</v>
      </c>
      <c r="C2451" s="5">
        <v>41489</v>
      </c>
      <c r="D2451" s="5">
        <v>41549</v>
      </c>
      <c r="E2451" s="4" t="s">
        <v>7</v>
      </c>
      <c r="F2451" s="4" t="s">
        <v>808</v>
      </c>
    </row>
    <row r="2452" spans="1:6" x14ac:dyDescent="0.25">
      <c r="A2452" s="4" t="str">
        <f>CONCATENATE("3071-0000-0666","")</f>
        <v>3071-0000-0666</v>
      </c>
      <c r="B2452" s="4" t="s">
        <v>799</v>
      </c>
      <c r="C2452" s="5">
        <v>41489</v>
      </c>
      <c r="D2452" s="5">
        <v>41549</v>
      </c>
      <c r="E2452" s="4" t="s">
        <v>7</v>
      </c>
      <c r="F2452" s="4" t="s">
        <v>7</v>
      </c>
    </row>
    <row r="2453" spans="1:6" x14ac:dyDescent="0.25">
      <c r="A2453" s="4" t="str">
        <f>CONCATENATE("3071-0000-0665","")</f>
        <v>3071-0000-0665</v>
      </c>
      <c r="B2453" s="4" t="s">
        <v>802</v>
      </c>
      <c r="C2453" s="5">
        <v>41489</v>
      </c>
      <c r="D2453" s="5">
        <v>41549</v>
      </c>
      <c r="E2453" s="4" t="s">
        <v>7</v>
      </c>
      <c r="F2453" s="4" t="s">
        <v>7</v>
      </c>
    </row>
    <row r="2454" spans="1:6" x14ac:dyDescent="0.25">
      <c r="A2454" s="4" t="str">
        <f>CONCATENATE("3071-0000-5254","")</f>
        <v>3071-0000-5254</v>
      </c>
      <c r="B2454" s="4" t="s">
        <v>6709</v>
      </c>
      <c r="C2454" s="5">
        <v>41489</v>
      </c>
      <c r="D2454" s="5">
        <v>41549</v>
      </c>
      <c r="E2454" s="4" t="s">
        <v>5185</v>
      </c>
      <c r="F2454" s="4" t="s">
        <v>5185</v>
      </c>
    </row>
    <row r="2455" spans="1:6" x14ac:dyDescent="0.25">
      <c r="A2455" s="4" t="str">
        <f>CONCATENATE("3071-0000-6351","")</f>
        <v>3071-0000-6351</v>
      </c>
      <c r="B2455" s="4" t="s">
        <v>7869</v>
      </c>
      <c r="C2455" s="5">
        <v>41489</v>
      </c>
      <c r="D2455" s="5">
        <v>41549</v>
      </c>
      <c r="E2455" s="4" t="s">
        <v>5185</v>
      </c>
      <c r="F2455" s="4" t="s">
        <v>5185</v>
      </c>
    </row>
    <row r="2456" spans="1:6" x14ac:dyDescent="0.25">
      <c r="A2456" s="4" t="str">
        <f>CONCATENATE("3071-0000-2190","")</f>
        <v>3071-0000-2190</v>
      </c>
      <c r="B2456" s="4" t="s">
        <v>3678</v>
      </c>
      <c r="C2456" s="5">
        <v>41489</v>
      </c>
      <c r="D2456" s="5">
        <v>41549</v>
      </c>
      <c r="E2456" s="4" t="s">
        <v>2944</v>
      </c>
      <c r="F2456" s="4" t="s">
        <v>2945</v>
      </c>
    </row>
    <row r="2457" spans="1:6" x14ac:dyDescent="0.25">
      <c r="A2457" s="4" t="str">
        <f>CONCATENATE("3071-0000-2183","")</f>
        <v>3071-0000-2183</v>
      </c>
      <c r="B2457" s="4" t="s">
        <v>3670</v>
      </c>
      <c r="C2457" s="5">
        <v>41489</v>
      </c>
      <c r="D2457" s="5">
        <v>41549</v>
      </c>
      <c r="E2457" s="4" t="s">
        <v>2944</v>
      </c>
      <c r="F2457" s="4" t="s">
        <v>2945</v>
      </c>
    </row>
    <row r="2458" spans="1:6" x14ac:dyDescent="0.25">
      <c r="A2458" s="4" t="str">
        <f>CONCATENATE("3071-0000-1204","")</f>
        <v>3071-0000-1204</v>
      </c>
      <c r="B2458" s="4" t="s">
        <v>2146</v>
      </c>
      <c r="C2458" s="5">
        <v>41489</v>
      </c>
      <c r="D2458" s="5">
        <v>41549</v>
      </c>
      <c r="E2458" s="4" t="s">
        <v>1857</v>
      </c>
      <c r="F2458" s="4" t="s">
        <v>1857</v>
      </c>
    </row>
    <row r="2459" spans="1:6" x14ac:dyDescent="0.25">
      <c r="A2459" s="4" t="str">
        <f>CONCATENATE("3071-0000-8327","")</f>
        <v>3071-0000-8327</v>
      </c>
      <c r="B2459" s="4" t="s">
        <v>5671</v>
      </c>
      <c r="C2459" s="5">
        <v>41489</v>
      </c>
      <c r="D2459" s="5">
        <v>41549</v>
      </c>
      <c r="E2459" s="4" t="s">
        <v>5185</v>
      </c>
      <c r="F2459" s="4" t="s">
        <v>5185</v>
      </c>
    </row>
    <row r="2460" spans="1:6" x14ac:dyDescent="0.25">
      <c r="A2460" s="4" t="str">
        <f>CONCATENATE("3071-0000-2648","")</f>
        <v>3071-0000-2648</v>
      </c>
      <c r="B2460" s="4" t="s">
        <v>3659</v>
      </c>
      <c r="C2460" s="5">
        <v>41489</v>
      </c>
      <c r="D2460" s="5">
        <v>41549</v>
      </c>
      <c r="E2460" s="4" t="s">
        <v>2944</v>
      </c>
      <c r="F2460" s="4" t="s">
        <v>3164</v>
      </c>
    </row>
    <row r="2461" spans="1:6" x14ac:dyDescent="0.25">
      <c r="A2461" s="4" t="str">
        <f>CONCATENATE("3071-0000-5251","")</f>
        <v>3071-0000-5251</v>
      </c>
      <c r="B2461" s="4" t="s">
        <v>6705</v>
      </c>
      <c r="C2461" s="5">
        <v>41489</v>
      </c>
      <c r="D2461" s="5">
        <v>41549</v>
      </c>
      <c r="E2461" s="4" t="s">
        <v>5185</v>
      </c>
      <c r="F2461" s="4" t="s">
        <v>5185</v>
      </c>
    </row>
    <row r="2462" spans="1:6" x14ac:dyDescent="0.25">
      <c r="A2462" s="4" t="str">
        <f>CONCATENATE("3071-0000-2088","")</f>
        <v>3071-0000-2088</v>
      </c>
      <c r="B2462" s="4" t="s">
        <v>3473</v>
      </c>
      <c r="C2462" s="5">
        <v>41489</v>
      </c>
      <c r="D2462" s="5">
        <v>41549</v>
      </c>
      <c r="E2462" s="4" t="s">
        <v>2944</v>
      </c>
      <c r="F2462" s="4" t="s">
        <v>2945</v>
      </c>
    </row>
    <row r="2463" spans="1:6" x14ac:dyDescent="0.25">
      <c r="A2463" s="4" t="str">
        <f>CONCATENATE("3071-0000-1685","")</f>
        <v>3071-0000-1685</v>
      </c>
      <c r="B2463" s="4" t="s">
        <v>2609</v>
      </c>
      <c r="C2463" s="5">
        <v>41489</v>
      </c>
      <c r="D2463" s="5">
        <v>41549</v>
      </c>
      <c r="E2463" s="4" t="s">
        <v>1381</v>
      </c>
      <c r="F2463" s="4" t="s">
        <v>2303</v>
      </c>
    </row>
    <row r="2464" spans="1:6" x14ac:dyDescent="0.25">
      <c r="A2464" s="4" t="str">
        <f>CONCATENATE("3071-0000-1576","")</f>
        <v>3071-0000-1576</v>
      </c>
      <c r="B2464" s="4" t="s">
        <v>2792</v>
      </c>
      <c r="C2464" s="5">
        <v>41489</v>
      </c>
      <c r="D2464" s="5">
        <v>41549</v>
      </c>
      <c r="E2464" s="4" t="s">
        <v>1381</v>
      </c>
      <c r="F2464" s="4" t="s">
        <v>2303</v>
      </c>
    </row>
    <row r="2465" spans="1:6" x14ac:dyDescent="0.25">
      <c r="A2465" s="4" t="str">
        <f>CONCATENATE("3071-0000-1574","")</f>
        <v>3071-0000-1574</v>
      </c>
      <c r="B2465" s="4" t="s">
        <v>2323</v>
      </c>
      <c r="C2465" s="5">
        <v>41489</v>
      </c>
      <c r="D2465" s="5">
        <v>41549</v>
      </c>
      <c r="E2465" s="4" t="s">
        <v>1381</v>
      </c>
      <c r="F2465" s="4" t="s">
        <v>2303</v>
      </c>
    </row>
    <row r="2466" spans="1:6" x14ac:dyDescent="0.25">
      <c r="A2466" s="4" t="str">
        <f>CONCATENATE("3071-0000-2716","")</f>
        <v>3071-0000-2716</v>
      </c>
      <c r="B2466" s="4" t="s">
        <v>2966</v>
      </c>
      <c r="C2466" s="5">
        <v>41489</v>
      </c>
      <c r="D2466" s="5">
        <v>41549</v>
      </c>
      <c r="E2466" s="4" t="s">
        <v>2944</v>
      </c>
      <c r="F2466" s="4" t="s">
        <v>2949</v>
      </c>
    </row>
    <row r="2467" spans="1:6" x14ac:dyDescent="0.25">
      <c r="A2467" s="4" t="str">
        <f>CONCATENATE("3071-0000-0912","")</f>
        <v>3071-0000-0912</v>
      </c>
      <c r="B2467" s="4" t="s">
        <v>2119</v>
      </c>
      <c r="C2467" s="5">
        <v>41489</v>
      </c>
      <c r="D2467" s="5">
        <v>41549</v>
      </c>
      <c r="E2467" s="4" t="s">
        <v>1857</v>
      </c>
      <c r="F2467" s="4" t="s">
        <v>1857</v>
      </c>
    </row>
    <row r="2468" spans="1:6" x14ac:dyDescent="0.25">
      <c r="A2468" s="4" t="str">
        <f>CONCATENATE("3071-0000-0824","")</f>
        <v>3071-0000-0824</v>
      </c>
      <c r="B2468" s="4" t="s">
        <v>1884</v>
      </c>
      <c r="C2468" s="5">
        <v>41489</v>
      </c>
      <c r="D2468" s="5">
        <v>41549</v>
      </c>
      <c r="E2468" s="4" t="s">
        <v>1857</v>
      </c>
      <c r="F2468" s="4" t="s">
        <v>1857</v>
      </c>
    </row>
    <row r="2469" spans="1:6" x14ac:dyDescent="0.25">
      <c r="A2469" s="4" t="str">
        <f>CONCATENATE("3071-0000-3953","")</f>
        <v>3071-0000-3953</v>
      </c>
      <c r="B2469" s="4" t="s">
        <v>3946</v>
      </c>
      <c r="C2469" s="5">
        <v>41489</v>
      </c>
      <c r="D2469" s="5">
        <v>41549</v>
      </c>
      <c r="E2469" s="4" t="s">
        <v>2944</v>
      </c>
      <c r="F2469" s="4" t="s">
        <v>3513</v>
      </c>
    </row>
    <row r="2470" spans="1:6" x14ac:dyDescent="0.25">
      <c r="A2470" s="4" t="str">
        <f>CONCATENATE("3071-0000-4718","")</f>
        <v>3071-0000-4718</v>
      </c>
      <c r="B2470" s="4" t="s">
        <v>9677</v>
      </c>
      <c r="C2470" s="5">
        <v>41489</v>
      </c>
      <c r="D2470" s="5">
        <v>41549</v>
      </c>
      <c r="E2470" s="4" t="s">
        <v>1410</v>
      </c>
      <c r="F2470" s="4" t="s">
        <v>8696</v>
      </c>
    </row>
    <row r="2471" spans="1:6" x14ac:dyDescent="0.25">
      <c r="A2471" s="4" t="str">
        <f>CONCATENATE("3071-0000-0965","")</f>
        <v>3071-0000-0965</v>
      </c>
      <c r="B2471" s="4" t="s">
        <v>2176</v>
      </c>
      <c r="C2471" s="5">
        <v>41489</v>
      </c>
      <c r="D2471" s="5">
        <v>41549</v>
      </c>
      <c r="E2471" s="4" t="s">
        <v>1857</v>
      </c>
      <c r="F2471" s="4" t="s">
        <v>1857</v>
      </c>
    </row>
    <row r="2472" spans="1:6" x14ac:dyDescent="0.25">
      <c r="A2472" s="4" t="str">
        <f>CONCATENATE("3071-0000-8264","")</f>
        <v>3071-0000-8264</v>
      </c>
      <c r="B2472" s="4" t="s">
        <v>5411</v>
      </c>
      <c r="C2472" s="5">
        <v>41489</v>
      </c>
      <c r="D2472" s="5">
        <v>41549</v>
      </c>
      <c r="E2472" s="4" t="s">
        <v>5185</v>
      </c>
      <c r="F2472" s="4" t="s">
        <v>5185</v>
      </c>
    </row>
    <row r="2473" spans="1:6" x14ac:dyDescent="0.25">
      <c r="A2473" s="4" t="str">
        <f>CONCATENATE("3071-0000-4184","")</f>
        <v>3071-0000-4184</v>
      </c>
      <c r="B2473" s="4" t="s">
        <v>3932</v>
      </c>
      <c r="C2473" s="5">
        <v>41489</v>
      </c>
      <c r="D2473" s="5">
        <v>41549</v>
      </c>
      <c r="E2473" s="4" t="s">
        <v>7</v>
      </c>
      <c r="F2473" s="4" t="s">
        <v>1419</v>
      </c>
    </row>
    <row r="2474" spans="1:6" x14ac:dyDescent="0.25">
      <c r="A2474" s="4" t="str">
        <f>CONCATENATE("3071-0000-4078","")</f>
        <v>3071-0000-4078</v>
      </c>
      <c r="B2474" s="4" t="s">
        <v>3903</v>
      </c>
      <c r="C2474" s="5">
        <v>41489</v>
      </c>
      <c r="D2474" s="5">
        <v>41549</v>
      </c>
      <c r="E2474" s="4" t="s">
        <v>7</v>
      </c>
      <c r="F2474" s="4" t="s">
        <v>3902</v>
      </c>
    </row>
    <row r="2475" spans="1:6" x14ac:dyDescent="0.25">
      <c r="A2475" s="4" t="str">
        <f>CONCATENATE("3071-0000-4917","")</f>
        <v>3071-0000-4917</v>
      </c>
      <c r="B2475" s="4" t="s">
        <v>9532</v>
      </c>
      <c r="C2475" s="5">
        <v>41489</v>
      </c>
      <c r="D2475" s="5">
        <v>41549</v>
      </c>
      <c r="E2475" s="4" t="s">
        <v>7069</v>
      </c>
      <c r="F2475" s="4" t="s">
        <v>9485</v>
      </c>
    </row>
    <row r="2476" spans="1:6" x14ac:dyDescent="0.25">
      <c r="A2476" s="4" t="str">
        <f>CONCATENATE("3071-0000-0928","")</f>
        <v>3071-0000-0928</v>
      </c>
      <c r="B2476" s="4" t="s">
        <v>2095</v>
      </c>
      <c r="C2476" s="5">
        <v>41489</v>
      </c>
      <c r="D2476" s="5">
        <v>41549</v>
      </c>
      <c r="E2476" s="4" t="s">
        <v>1857</v>
      </c>
      <c r="F2476" s="4" t="s">
        <v>1857</v>
      </c>
    </row>
    <row r="2477" spans="1:6" x14ac:dyDescent="0.25">
      <c r="A2477" s="4" t="str">
        <f>CONCATENATE("3071-0000-3695","")</f>
        <v>3071-0000-3695</v>
      </c>
      <c r="B2477" s="4" t="s">
        <v>1809</v>
      </c>
      <c r="C2477" s="5">
        <v>41489</v>
      </c>
      <c r="D2477" s="5">
        <v>41549</v>
      </c>
      <c r="E2477" s="4" t="s">
        <v>1410</v>
      </c>
      <c r="F2477" s="4" t="s">
        <v>1410</v>
      </c>
    </row>
    <row r="2478" spans="1:6" x14ac:dyDescent="0.25">
      <c r="A2478" s="4" t="str">
        <f>CONCATENATE("3071-0000-1696","")</f>
        <v>3071-0000-1696</v>
      </c>
      <c r="B2478" s="4" t="s">
        <v>2453</v>
      </c>
      <c r="C2478" s="5">
        <v>41489</v>
      </c>
      <c r="D2478" s="5">
        <v>41549</v>
      </c>
      <c r="E2478" s="4" t="s">
        <v>1381</v>
      </c>
      <c r="F2478" s="4" t="s">
        <v>2303</v>
      </c>
    </row>
    <row r="2479" spans="1:6" x14ac:dyDescent="0.25">
      <c r="A2479" s="4" t="str">
        <f>CONCATENATE("3071-0000-1487","")</f>
        <v>3071-0000-1487</v>
      </c>
      <c r="B2479" s="4" t="s">
        <v>2345</v>
      </c>
      <c r="C2479" s="5">
        <v>41489</v>
      </c>
      <c r="D2479" s="5">
        <v>41549</v>
      </c>
      <c r="E2479" s="4" t="s">
        <v>1381</v>
      </c>
      <c r="F2479" s="4" t="s">
        <v>2303</v>
      </c>
    </row>
    <row r="2480" spans="1:6" x14ac:dyDescent="0.25">
      <c r="A2480" s="4" t="str">
        <f>CONCATENATE("3071-0000-1321","")</f>
        <v>3071-0000-1321</v>
      </c>
      <c r="B2480" s="4" t="s">
        <v>2444</v>
      </c>
      <c r="C2480" s="5">
        <v>41489</v>
      </c>
      <c r="D2480" s="5">
        <v>41549</v>
      </c>
      <c r="E2480" s="4" t="s">
        <v>1381</v>
      </c>
      <c r="F2480" s="4" t="s">
        <v>2303</v>
      </c>
    </row>
    <row r="2481" spans="1:6" x14ac:dyDescent="0.25">
      <c r="A2481" s="4" t="str">
        <f>CONCATENATE("3071-0000-1484","")</f>
        <v>3071-0000-1484</v>
      </c>
      <c r="B2481" s="4" t="s">
        <v>2940</v>
      </c>
      <c r="C2481" s="5">
        <v>41489</v>
      </c>
      <c r="D2481" s="5">
        <v>41549</v>
      </c>
      <c r="E2481" s="4" t="s">
        <v>1381</v>
      </c>
      <c r="F2481" s="4" t="s">
        <v>2303</v>
      </c>
    </row>
    <row r="2482" spans="1:6" x14ac:dyDescent="0.25">
      <c r="A2482" s="4" t="str">
        <f>CONCATENATE("3071-0000-0961","")</f>
        <v>3071-0000-0961</v>
      </c>
      <c r="B2482" s="4" t="s">
        <v>2147</v>
      </c>
      <c r="C2482" s="5">
        <v>41489</v>
      </c>
      <c r="D2482" s="5">
        <v>41549</v>
      </c>
      <c r="E2482" s="4" t="s">
        <v>1857</v>
      </c>
      <c r="F2482" s="4" t="s">
        <v>1857</v>
      </c>
    </row>
    <row r="2483" spans="1:6" x14ac:dyDescent="0.25">
      <c r="A2483" s="4" t="str">
        <f>CONCATENATE("3071-0000-2346","")</f>
        <v>3071-0000-2346</v>
      </c>
      <c r="B2483" s="4" t="s">
        <v>3809</v>
      </c>
      <c r="C2483" s="5">
        <v>41489</v>
      </c>
      <c r="D2483" s="5">
        <v>41549</v>
      </c>
      <c r="E2483" s="4" t="s">
        <v>2944</v>
      </c>
      <c r="F2483" s="4" t="s">
        <v>2945</v>
      </c>
    </row>
    <row r="2484" spans="1:6" x14ac:dyDescent="0.25">
      <c r="A2484" s="4" t="str">
        <f>CONCATENATE("3071-0000-1336","")</f>
        <v>3071-0000-1336</v>
      </c>
      <c r="B2484" s="4" t="s">
        <v>2468</v>
      </c>
      <c r="C2484" s="5">
        <v>41489</v>
      </c>
      <c r="D2484" s="5">
        <v>41549</v>
      </c>
      <c r="E2484" s="4" t="s">
        <v>1381</v>
      </c>
      <c r="F2484" s="4" t="s">
        <v>2303</v>
      </c>
    </row>
    <row r="2485" spans="1:6" x14ac:dyDescent="0.25">
      <c r="A2485" s="4" t="str">
        <f>CONCATENATE("3071-0000-5842","")</f>
        <v>3071-0000-5842</v>
      </c>
      <c r="B2485" s="4" t="s">
        <v>7315</v>
      </c>
      <c r="C2485" s="5">
        <v>41489</v>
      </c>
      <c r="D2485" s="5">
        <v>41549</v>
      </c>
      <c r="E2485" s="4" t="s">
        <v>5185</v>
      </c>
      <c r="F2485" s="4" t="s">
        <v>5185</v>
      </c>
    </row>
    <row r="2486" spans="1:6" x14ac:dyDescent="0.25">
      <c r="A2486" s="4" t="str">
        <f>CONCATENATE("3071-0000-6345","")</f>
        <v>3071-0000-6345</v>
      </c>
      <c r="B2486" s="4" t="s">
        <v>7861</v>
      </c>
      <c r="C2486" s="5">
        <v>41489</v>
      </c>
      <c r="D2486" s="5">
        <v>41549</v>
      </c>
      <c r="E2486" s="4" t="s">
        <v>5185</v>
      </c>
      <c r="F2486" s="4" t="s">
        <v>5185</v>
      </c>
    </row>
    <row r="2487" spans="1:6" x14ac:dyDescent="0.25">
      <c r="A2487" s="4" t="str">
        <f>CONCATENATE("3071-0000-6347","")</f>
        <v>3071-0000-6347</v>
      </c>
      <c r="B2487" s="4" t="s">
        <v>7864</v>
      </c>
      <c r="C2487" s="5">
        <v>41489</v>
      </c>
      <c r="D2487" s="5">
        <v>41549</v>
      </c>
      <c r="E2487" s="4" t="s">
        <v>5185</v>
      </c>
      <c r="F2487" s="4" t="s">
        <v>5185</v>
      </c>
    </row>
    <row r="2488" spans="1:6" x14ac:dyDescent="0.25">
      <c r="A2488" s="4" t="str">
        <f>CONCATENATE("3071-0000-2322","")</f>
        <v>3071-0000-2322</v>
      </c>
      <c r="B2488" s="4" t="s">
        <v>3459</v>
      </c>
      <c r="C2488" s="5">
        <v>41489</v>
      </c>
      <c r="D2488" s="5">
        <v>41549</v>
      </c>
      <c r="E2488" s="4" t="s">
        <v>2944</v>
      </c>
      <c r="F2488" s="4" t="s">
        <v>2945</v>
      </c>
    </row>
    <row r="2489" spans="1:6" x14ac:dyDescent="0.25">
      <c r="A2489" s="4" t="str">
        <f>CONCATENATE("3071-0000-1591","")</f>
        <v>3071-0000-1591</v>
      </c>
      <c r="B2489" s="4" t="s">
        <v>2321</v>
      </c>
      <c r="C2489" s="5">
        <v>41489</v>
      </c>
      <c r="D2489" s="5">
        <v>41549</v>
      </c>
      <c r="E2489" s="4" t="s">
        <v>1381</v>
      </c>
      <c r="F2489" s="4" t="s">
        <v>2303</v>
      </c>
    </row>
    <row r="2490" spans="1:6" x14ac:dyDescent="0.25">
      <c r="A2490" s="4" t="str">
        <f>CONCATENATE("3071-0000-3955","")</f>
        <v>3071-0000-3955</v>
      </c>
      <c r="B2490" s="4" t="s">
        <v>3931</v>
      </c>
      <c r="C2490" s="5">
        <v>41489</v>
      </c>
      <c r="D2490" s="5">
        <v>41549</v>
      </c>
      <c r="E2490" s="4" t="s">
        <v>2944</v>
      </c>
      <c r="F2490" s="4" t="s">
        <v>3513</v>
      </c>
    </row>
    <row r="2491" spans="1:6" x14ac:dyDescent="0.25">
      <c r="A2491" s="4" t="str">
        <f>CONCATENATE("3071-0000-4040","")</f>
        <v>3071-0000-4040</v>
      </c>
      <c r="B2491" s="4" t="s">
        <v>3993</v>
      </c>
      <c r="C2491" s="5">
        <v>41489</v>
      </c>
      <c r="D2491" s="5">
        <v>41549</v>
      </c>
      <c r="E2491" s="4" t="s">
        <v>7</v>
      </c>
      <c r="F2491" s="4" t="s">
        <v>1419</v>
      </c>
    </row>
    <row r="2492" spans="1:6" x14ac:dyDescent="0.25">
      <c r="A2492" s="4" t="str">
        <f>CONCATENATE("3071-0000-7361","")</f>
        <v>3071-0000-7361</v>
      </c>
      <c r="B2492" s="4" t="s">
        <v>5045</v>
      </c>
      <c r="C2492" s="5">
        <v>41489</v>
      </c>
      <c r="D2492" s="5">
        <v>41549</v>
      </c>
      <c r="E2492" s="4" t="s">
        <v>1410</v>
      </c>
      <c r="F2492" s="4" t="s">
        <v>1410</v>
      </c>
    </row>
    <row r="2493" spans="1:6" x14ac:dyDescent="0.25">
      <c r="A2493" s="4" t="str">
        <f>CONCATENATE("3071-0000-3228","")</f>
        <v>3071-0000-3228</v>
      </c>
      <c r="B2493" s="4" t="s">
        <v>870</v>
      </c>
      <c r="C2493" s="5">
        <v>41489</v>
      </c>
      <c r="D2493" s="5">
        <v>41549</v>
      </c>
      <c r="E2493" s="4" t="s">
        <v>7</v>
      </c>
      <c r="F2493" s="4" t="s">
        <v>808</v>
      </c>
    </row>
    <row r="2494" spans="1:6" x14ac:dyDescent="0.25">
      <c r="A2494" s="4" t="str">
        <f>CONCATENATE("3071-0000-6380","")</f>
        <v>3071-0000-6380</v>
      </c>
      <c r="B2494" s="4" t="s">
        <v>7913</v>
      </c>
      <c r="C2494" s="5">
        <v>41489</v>
      </c>
      <c r="D2494" s="5">
        <v>41549</v>
      </c>
      <c r="E2494" s="4" t="s">
        <v>5185</v>
      </c>
      <c r="F2494" s="4" t="s">
        <v>5185</v>
      </c>
    </row>
    <row r="2495" spans="1:6" x14ac:dyDescent="0.25">
      <c r="A2495" s="4" t="str">
        <f>CONCATENATE("3071-0000-2563","")</f>
        <v>3071-0000-2563</v>
      </c>
      <c r="B2495" s="4" t="s">
        <v>3697</v>
      </c>
      <c r="C2495" s="5">
        <v>41489</v>
      </c>
      <c r="D2495" s="5">
        <v>41549</v>
      </c>
      <c r="E2495" s="4" t="s">
        <v>2944</v>
      </c>
      <c r="F2495" s="4" t="s">
        <v>3164</v>
      </c>
    </row>
    <row r="2496" spans="1:6" x14ac:dyDescent="0.25">
      <c r="A2496" s="4" t="str">
        <f>CONCATENATE("3071-0000-2700","")</f>
        <v>3071-0000-2700</v>
      </c>
      <c r="B2496" s="4" t="s">
        <v>3663</v>
      </c>
      <c r="C2496" s="5">
        <v>41489</v>
      </c>
      <c r="D2496" s="5">
        <v>41549</v>
      </c>
      <c r="E2496" s="4" t="s">
        <v>2944</v>
      </c>
      <c r="F2496" s="4" t="s">
        <v>3164</v>
      </c>
    </row>
    <row r="2497" spans="1:6" x14ac:dyDescent="0.25">
      <c r="A2497" s="4" t="str">
        <f>CONCATENATE("3071-0000-3859","")</f>
        <v>3071-0000-3859</v>
      </c>
      <c r="B2497" s="4" t="s">
        <v>4005</v>
      </c>
      <c r="C2497" s="5">
        <v>41489</v>
      </c>
      <c r="D2497" s="5">
        <v>41549</v>
      </c>
      <c r="E2497" s="4" t="s">
        <v>1381</v>
      </c>
      <c r="F2497" s="4" t="s">
        <v>3994</v>
      </c>
    </row>
    <row r="2498" spans="1:6" x14ac:dyDescent="0.25">
      <c r="A2498" s="4" t="str">
        <f>CONCATENATE("3071-0000-3857","")</f>
        <v>3071-0000-3857</v>
      </c>
      <c r="B2498" s="4" t="s">
        <v>4003</v>
      </c>
      <c r="C2498" s="5">
        <v>41489</v>
      </c>
      <c r="D2498" s="5">
        <v>41549</v>
      </c>
      <c r="E2498" s="4" t="s">
        <v>1381</v>
      </c>
      <c r="F2498" s="4" t="s">
        <v>3994</v>
      </c>
    </row>
    <row r="2499" spans="1:6" x14ac:dyDescent="0.25">
      <c r="A2499" s="4" t="str">
        <f>CONCATENATE("3071-0000-3943","")</f>
        <v>3071-0000-3943</v>
      </c>
      <c r="B2499" s="4" t="s">
        <v>4087</v>
      </c>
      <c r="C2499" s="5">
        <v>41489</v>
      </c>
      <c r="D2499" s="5">
        <v>41549</v>
      </c>
      <c r="E2499" s="4" t="s">
        <v>1381</v>
      </c>
      <c r="F2499" s="4" t="s">
        <v>4057</v>
      </c>
    </row>
    <row r="2500" spans="1:6" x14ac:dyDescent="0.25">
      <c r="A2500" s="4" t="str">
        <f>CONCATENATE("3071-0000-0765","")</f>
        <v>3071-0000-0765</v>
      </c>
      <c r="B2500" s="4" t="s">
        <v>586</v>
      </c>
      <c r="C2500" s="5">
        <v>41489</v>
      </c>
      <c r="D2500" s="5">
        <v>41549</v>
      </c>
      <c r="E2500" s="4" t="s">
        <v>7</v>
      </c>
      <c r="F2500" s="4" t="s">
        <v>273</v>
      </c>
    </row>
    <row r="2501" spans="1:6" x14ac:dyDescent="0.25">
      <c r="A2501" s="4" t="str">
        <f>CONCATENATE("3071-0000-4111","")</f>
        <v>3071-0000-4111</v>
      </c>
      <c r="B2501" s="4" t="s">
        <v>4159</v>
      </c>
      <c r="C2501" s="5">
        <v>41489</v>
      </c>
      <c r="D2501" s="5">
        <v>41549</v>
      </c>
      <c r="E2501" s="4" t="s">
        <v>7</v>
      </c>
      <c r="F2501" s="4" t="s">
        <v>1419</v>
      </c>
    </row>
    <row r="2502" spans="1:6" x14ac:dyDescent="0.25">
      <c r="A2502" s="4" t="str">
        <f>CONCATENATE("3071-0000-0946","")</f>
        <v>3071-0000-0946</v>
      </c>
      <c r="B2502" s="4" t="s">
        <v>2150</v>
      </c>
      <c r="C2502" s="5">
        <v>41489</v>
      </c>
      <c r="D2502" s="5">
        <v>41549</v>
      </c>
      <c r="E2502" s="4" t="s">
        <v>1857</v>
      </c>
      <c r="F2502" s="4" t="s">
        <v>1857</v>
      </c>
    </row>
    <row r="2503" spans="1:6" x14ac:dyDescent="0.25">
      <c r="A2503" s="4" t="str">
        <f>CONCATENATE("3071-0000-2486","")</f>
        <v>3071-0000-2486</v>
      </c>
      <c r="B2503" s="4" t="s">
        <v>3600</v>
      </c>
      <c r="C2503" s="5">
        <v>41489</v>
      </c>
      <c r="D2503" s="5">
        <v>41549</v>
      </c>
      <c r="E2503" s="4" t="s">
        <v>2944</v>
      </c>
      <c r="F2503" s="4" t="s">
        <v>3593</v>
      </c>
    </row>
    <row r="2504" spans="1:6" x14ac:dyDescent="0.25">
      <c r="A2504" s="4" t="str">
        <f>CONCATENATE("3071-0000-3215","")</f>
        <v>3071-0000-3215</v>
      </c>
      <c r="B2504" s="4" t="s">
        <v>969</v>
      </c>
      <c r="C2504" s="5">
        <v>41489</v>
      </c>
      <c r="D2504" s="5">
        <v>41549</v>
      </c>
      <c r="E2504" s="4" t="s">
        <v>7</v>
      </c>
      <c r="F2504" s="4" t="s">
        <v>808</v>
      </c>
    </row>
    <row r="2505" spans="1:6" x14ac:dyDescent="0.25">
      <c r="A2505" s="4" t="str">
        <f>CONCATENATE("3071-0000-1435","")</f>
        <v>3071-0000-1435</v>
      </c>
      <c r="B2505" s="4" t="s">
        <v>2665</v>
      </c>
      <c r="C2505" s="5">
        <v>41489</v>
      </c>
      <c r="D2505" s="5">
        <v>41549</v>
      </c>
      <c r="E2505" s="4" t="s">
        <v>1381</v>
      </c>
      <c r="F2505" s="4" t="s">
        <v>2303</v>
      </c>
    </row>
    <row r="2506" spans="1:6" x14ac:dyDescent="0.25">
      <c r="A2506" s="4" t="str">
        <f>CONCATENATE("3071-0000-3577","")</f>
        <v>3071-0000-3577</v>
      </c>
      <c r="B2506" s="4" t="s">
        <v>1422</v>
      </c>
      <c r="C2506" s="5">
        <v>41489</v>
      </c>
      <c r="D2506" s="5">
        <v>41549</v>
      </c>
      <c r="E2506" s="4" t="s">
        <v>1410</v>
      </c>
      <c r="F2506" s="4" t="s">
        <v>1411</v>
      </c>
    </row>
    <row r="2507" spans="1:6" x14ac:dyDescent="0.25">
      <c r="A2507" s="4" t="str">
        <f>CONCATENATE("3071-0000-3937","")</f>
        <v>3071-0000-3937</v>
      </c>
      <c r="B2507" s="4" t="s">
        <v>3945</v>
      </c>
      <c r="C2507" s="5">
        <v>41489</v>
      </c>
      <c r="D2507" s="5">
        <v>41549</v>
      </c>
      <c r="E2507" s="4" t="s">
        <v>2944</v>
      </c>
      <c r="F2507" s="4" t="s">
        <v>3513</v>
      </c>
    </row>
    <row r="2508" spans="1:6" x14ac:dyDescent="0.25">
      <c r="A2508" s="4" t="str">
        <f>CONCATENATE("3071-0000-0090","")</f>
        <v>3071-0000-0090</v>
      </c>
      <c r="B2508" s="4" t="s">
        <v>175</v>
      </c>
      <c r="C2508" s="5">
        <v>41489</v>
      </c>
      <c r="D2508" s="5">
        <v>41549</v>
      </c>
      <c r="E2508" s="4" t="s">
        <v>7</v>
      </c>
      <c r="F2508" s="4" t="s">
        <v>7</v>
      </c>
    </row>
    <row r="2509" spans="1:6" x14ac:dyDescent="0.25">
      <c r="A2509" s="4" t="str">
        <f>CONCATENATE("3071-0000-4150","")</f>
        <v>3071-0000-4150</v>
      </c>
      <c r="B2509" s="4" t="s">
        <v>4071</v>
      </c>
      <c r="C2509" s="5">
        <v>41489</v>
      </c>
      <c r="D2509" s="5">
        <v>41549</v>
      </c>
      <c r="E2509" s="4" t="s">
        <v>1381</v>
      </c>
      <c r="F2509" s="4" t="s">
        <v>4057</v>
      </c>
    </row>
    <row r="2510" spans="1:6" x14ac:dyDescent="0.25">
      <c r="A2510" s="4" t="str">
        <f>CONCATENATE("3071-0000-6028","")</f>
        <v>3071-0000-6028</v>
      </c>
      <c r="B2510" s="4" t="s">
        <v>7191</v>
      </c>
      <c r="C2510" s="5">
        <v>41489</v>
      </c>
      <c r="D2510" s="5">
        <v>41549</v>
      </c>
      <c r="E2510" s="4" t="s">
        <v>7069</v>
      </c>
      <c r="F2510" s="4" t="s">
        <v>7183</v>
      </c>
    </row>
    <row r="2511" spans="1:6" x14ac:dyDescent="0.25">
      <c r="A2511" s="4" t="str">
        <f>CONCATENATE("3071-0000-0957","")</f>
        <v>3071-0000-0957</v>
      </c>
      <c r="B2511" s="4" t="s">
        <v>2141</v>
      </c>
      <c r="C2511" s="5">
        <v>41489</v>
      </c>
      <c r="D2511" s="5">
        <v>41549</v>
      </c>
      <c r="E2511" s="4" t="s">
        <v>1857</v>
      </c>
      <c r="F2511" s="4" t="s">
        <v>1857</v>
      </c>
    </row>
    <row r="2512" spans="1:6" x14ac:dyDescent="0.25">
      <c r="A2512" s="4" t="str">
        <f>CONCATENATE("3071-0000-1241","")</f>
        <v>3071-0000-1241</v>
      </c>
      <c r="B2512" s="4" t="s">
        <v>2325</v>
      </c>
      <c r="C2512" s="5">
        <v>41489</v>
      </c>
      <c r="D2512" s="5">
        <v>41549</v>
      </c>
      <c r="E2512" s="4" t="s">
        <v>1381</v>
      </c>
      <c r="F2512" s="4" t="s">
        <v>2303</v>
      </c>
    </row>
    <row r="2513" spans="1:6" x14ac:dyDescent="0.25">
      <c r="A2513" s="4" t="str">
        <f>CONCATENATE("3071-0000-2517","")</f>
        <v>3071-0000-2517</v>
      </c>
      <c r="B2513" s="4" t="s">
        <v>3620</v>
      </c>
      <c r="C2513" s="5">
        <v>41489</v>
      </c>
      <c r="D2513" s="5">
        <v>41549</v>
      </c>
      <c r="E2513" s="4" t="s">
        <v>2944</v>
      </c>
      <c r="F2513" s="4" t="s">
        <v>3567</v>
      </c>
    </row>
    <row r="2514" spans="1:6" x14ac:dyDescent="0.25">
      <c r="A2514" s="4" t="str">
        <f>CONCATENATE("3071-0000-2308","")</f>
        <v>3071-0000-2308</v>
      </c>
      <c r="B2514" s="4" t="s">
        <v>3502</v>
      </c>
      <c r="C2514" s="5">
        <v>41489</v>
      </c>
      <c r="D2514" s="5">
        <v>41549</v>
      </c>
      <c r="E2514" s="4" t="s">
        <v>2944</v>
      </c>
      <c r="F2514" s="4" t="s">
        <v>2945</v>
      </c>
    </row>
    <row r="2515" spans="1:6" x14ac:dyDescent="0.25">
      <c r="A2515" s="4" t="str">
        <f>CONCATENATE("3071-0000-3916","")</f>
        <v>3071-0000-3916</v>
      </c>
      <c r="B2515" s="4" t="s">
        <v>4061</v>
      </c>
      <c r="C2515" s="5">
        <v>41489</v>
      </c>
      <c r="D2515" s="5">
        <v>41549</v>
      </c>
      <c r="E2515" s="4" t="s">
        <v>1381</v>
      </c>
      <c r="F2515" s="4" t="s">
        <v>4057</v>
      </c>
    </row>
    <row r="2516" spans="1:6" x14ac:dyDescent="0.25">
      <c r="A2516" s="4" t="str">
        <f>CONCATENATE("3071-0000-1811","")</f>
        <v>3071-0000-1811</v>
      </c>
      <c r="B2516" s="4" t="s">
        <v>2451</v>
      </c>
      <c r="C2516" s="5">
        <v>41489</v>
      </c>
      <c r="D2516" s="5">
        <v>41549</v>
      </c>
      <c r="E2516" s="4" t="s">
        <v>1381</v>
      </c>
      <c r="F2516" s="4" t="s">
        <v>2303</v>
      </c>
    </row>
    <row r="2517" spans="1:6" x14ac:dyDescent="0.25">
      <c r="A2517" s="4" t="str">
        <f>CONCATENATE("3071-0000-7768","")</f>
        <v>3071-0000-7768</v>
      </c>
      <c r="B2517" s="4" t="s">
        <v>4427</v>
      </c>
      <c r="C2517" s="5">
        <v>41489</v>
      </c>
      <c r="D2517" s="5">
        <v>41549</v>
      </c>
      <c r="E2517" s="4" t="s">
        <v>1410</v>
      </c>
      <c r="F2517" s="4" t="s">
        <v>1410</v>
      </c>
    </row>
    <row r="2518" spans="1:6" x14ac:dyDescent="0.25">
      <c r="A2518" s="4" t="str">
        <f>CONCATENATE("3071-0000-3921","")</f>
        <v>3071-0000-3921</v>
      </c>
      <c r="B2518" s="4" t="s">
        <v>4067</v>
      </c>
      <c r="C2518" s="5">
        <v>41489</v>
      </c>
      <c r="D2518" s="5">
        <v>41549</v>
      </c>
      <c r="E2518" s="4" t="s">
        <v>1381</v>
      </c>
      <c r="F2518" s="4" t="s">
        <v>4057</v>
      </c>
    </row>
    <row r="2519" spans="1:6" x14ac:dyDescent="0.25">
      <c r="A2519" s="4" t="str">
        <f>CONCATENATE("3071-0000-3124","")</f>
        <v>3071-0000-3124</v>
      </c>
      <c r="B2519" s="4" t="s">
        <v>843</v>
      </c>
      <c r="C2519" s="5">
        <v>41489</v>
      </c>
      <c r="D2519" s="5">
        <v>41549</v>
      </c>
      <c r="E2519" s="4" t="s">
        <v>7</v>
      </c>
      <c r="F2519" s="4" t="s">
        <v>812</v>
      </c>
    </row>
    <row r="2520" spans="1:6" x14ac:dyDescent="0.25">
      <c r="A2520" s="4" t="str">
        <f>CONCATENATE("3071-0000-4440","")</f>
        <v>3071-0000-4440</v>
      </c>
      <c r="B2520" s="4" t="s">
        <v>9315</v>
      </c>
      <c r="C2520" s="5">
        <v>41489</v>
      </c>
      <c r="D2520" s="5">
        <v>41549</v>
      </c>
      <c r="E2520" s="4" t="s">
        <v>1410</v>
      </c>
      <c r="F2520" s="4" t="s">
        <v>8696</v>
      </c>
    </row>
    <row r="2521" spans="1:6" x14ac:dyDescent="0.25">
      <c r="A2521" s="4" t="str">
        <f>CONCATENATE("3071-0000-4423","")</f>
        <v>3071-0000-4423</v>
      </c>
      <c r="B2521" s="4" t="s">
        <v>9289</v>
      </c>
      <c r="C2521" s="5">
        <v>41489</v>
      </c>
      <c r="D2521" s="5">
        <v>41549</v>
      </c>
      <c r="E2521" s="4" t="s">
        <v>1410</v>
      </c>
      <c r="F2521" s="4" t="s">
        <v>8696</v>
      </c>
    </row>
    <row r="2522" spans="1:6" x14ac:dyDescent="0.25">
      <c r="A2522" s="4" t="str">
        <f>CONCATENATE("3071-0000-4441","")</f>
        <v>3071-0000-4441</v>
      </c>
      <c r="B2522" s="4" t="s">
        <v>9316</v>
      </c>
      <c r="C2522" s="5">
        <v>41489</v>
      </c>
      <c r="D2522" s="5">
        <v>41549</v>
      </c>
      <c r="E2522" s="4" t="s">
        <v>1410</v>
      </c>
      <c r="F2522" s="4" t="s">
        <v>8696</v>
      </c>
    </row>
    <row r="2523" spans="1:6" x14ac:dyDescent="0.25">
      <c r="A2523" s="4" t="str">
        <f>CONCATENATE("3071-0000-4439","")</f>
        <v>3071-0000-4439</v>
      </c>
      <c r="B2523" s="4" t="s">
        <v>9313</v>
      </c>
      <c r="C2523" s="5">
        <v>41489</v>
      </c>
      <c r="D2523" s="5">
        <v>41549</v>
      </c>
      <c r="E2523" s="4" t="s">
        <v>1410</v>
      </c>
      <c r="F2523" s="4" t="s">
        <v>8696</v>
      </c>
    </row>
    <row r="2524" spans="1:6" x14ac:dyDescent="0.25">
      <c r="A2524" s="4" t="str">
        <f>CONCATENATE("3071-0000-5080","")</f>
        <v>3071-0000-5080</v>
      </c>
      <c r="B2524" s="4" t="s">
        <v>9358</v>
      </c>
      <c r="C2524" s="5">
        <v>41489</v>
      </c>
      <c r="D2524" s="5">
        <v>41549</v>
      </c>
      <c r="E2524" s="4" t="s">
        <v>7069</v>
      </c>
      <c r="F2524" s="4" t="s">
        <v>9210</v>
      </c>
    </row>
    <row r="2525" spans="1:6" x14ac:dyDescent="0.25">
      <c r="A2525" s="4" t="str">
        <f>CONCATENATE("3071-0000-4464","")</f>
        <v>3071-0000-4464</v>
      </c>
      <c r="B2525" s="4" t="s">
        <v>9348</v>
      </c>
      <c r="C2525" s="5">
        <v>41489</v>
      </c>
      <c r="D2525" s="5">
        <v>41549</v>
      </c>
      <c r="E2525" s="4" t="s">
        <v>1410</v>
      </c>
      <c r="F2525" s="4" t="s">
        <v>8696</v>
      </c>
    </row>
    <row r="2526" spans="1:6" x14ac:dyDescent="0.25">
      <c r="A2526" s="4" t="str">
        <f>CONCATENATE("3071-0000-4657","")</f>
        <v>3071-0000-4657</v>
      </c>
      <c r="B2526" s="4" t="s">
        <v>9451</v>
      </c>
      <c r="C2526" s="5">
        <v>41489</v>
      </c>
      <c r="D2526" s="5">
        <v>41549</v>
      </c>
      <c r="E2526" s="4" t="s">
        <v>1410</v>
      </c>
      <c r="F2526" s="4" t="s">
        <v>8696</v>
      </c>
    </row>
    <row r="2527" spans="1:6" x14ac:dyDescent="0.25">
      <c r="A2527" s="4" t="str">
        <f>CONCATENATE("3071-0000-4417","")</f>
        <v>3071-0000-4417</v>
      </c>
      <c r="B2527" s="4" t="s">
        <v>9280</v>
      </c>
      <c r="C2527" s="5">
        <v>41489</v>
      </c>
      <c r="D2527" s="5">
        <v>41549</v>
      </c>
      <c r="E2527" s="4" t="s">
        <v>1410</v>
      </c>
      <c r="F2527" s="4" t="s">
        <v>8696</v>
      </c>
    </row>
    <row r="2528" spans="1:6" x14ac:dyDescent="0.25">
      <c r="A2528" s="4" t="str">
        <f>CONCATENATE("3071-0000-9503","")</f>
        <v>3071-0000-9503</v>
      </c>
      <c r="B2528" s="4" t="s">
        <v>8557</v>
      </c>
      <c r="C2528" s="5">
        <v>41489</v>
      </c>
      <c r="D2528" s="5">
        <v>41549</v>
      </c>
      <c r="E2528" s="4" t="s">
        <v>1410</v>
      </c>
      <c r="F2528" s="4" t="s">
        <v>4459</v>
      </c>
    </row>
    <row r="2529" spans="1:6" x14ac:dyDescent="0.25">
      <c r="A2529" s="4" t="str">
        <f>CONCATENATE("3071-0000-9032","")</f>
        <v>3071-0000-9032</v>
      </c>
      <c r="B2529" s="4" t="s">
        <v>5376</v>
      </c>
      <c r="C2529" s="5">
        <v>41489</v>
      </c>
      <c r="D2529" s="5">
        <v>41549</v>
      </c>
      <c r="E2529" s="4" t="s">
        <v>5185</v>
      </c>
      <c r="F2529" s="4" t="s">
        <v>4188</v>
      </c>
    </row>
    <row r="2530" spans="1:6" x14ac:dyDescent="0.25">
      <c r="A2530" s="4" t="str">
        <f>CONCATENATE("3071-0000-0407","")</f>
        <v>3071-0000-0407</v>
      </c>
      <c r="B2530" s="4" t="s">
        <v>691</v>
      </c>
      <c r="C2530" s="5">
        <v>41489</v>
      </c>
      <c r="D2530" s="5">
        <v>41549</v>
      </c>
      <c r="E2530" s="4" t="s">
        <v>7</v>
      </c>
      <c r="F2530" s="4" t="s">
        <v>7</v>
      </c>
    </row>
    <row r="2531" spans="1:6" x14ac:dyDescent="0.25">
      <c r="A2531" s="4" t="str">
        <f>CONCATENATE("3071-0000-0517","")</f>
        <v>3071-0000-0517</v>
      </c>
      <c r="B2531" s="4" t="s">
        <v>698</v>
      </c>
      <c r="C2531" s="5">
        <v>41489</v>
      </c>
      <c r="D2531" s="5">
        <v>41549</v>
      </c>
      <c r="E2531" s="4" t="s">
        <v>7</v>
      </c>
      <c r="F2531" s="4" t="s">
        <v>7</v>
      </c>
    </row>
    <row r="2532" spans="1:6" x14ac:dyDescent="0.25">
      <c r="A2532" s="4" t="str">
        <f>CONCATENATE("3071-0000-7574","")</f>
        <v>3071-0000-7574</v>
      </c>
      <c r="B2532" s="4" t="s">
        <v>4970</v>
      </c>
      <c r="C2532" s="5">
        <v>41489</v>
      </c>
      <c r="D2532" s="5">
        <v>41549</v>
      </c>
      <c r="E2532" s="4" t="s">
        <v>1410</v>
      </c>
      <c r="F2532" s="4" t="s">
        <v>4616</v>
      </c>
    </row>
    <row r="2533" spans="1:6" x14ac:dyDescent="0.25">
      <c r="A2533" s="4" t="str">
        <f>CONCATENATE("3071-0000-8311","")</f>
        <v>3071-0000-8311</v>
      </c>
      <c r="B2533" s="4" t="s">
        <v>5310</v>
      </c>
      <c r="C2533" s="5">
        <v>41489</v>
      </c>
      <c r="D2533" s="5">
        <v>41549</v>
      </c>
      <c r="E2533" s="4" t="s">
        <v>5185</v>
      </c>
      <c r="F2533" s="4" t="s">
        <v>5185</v>
      </c>
    </row>
    <row r="2534" spans="1:6" x14ac:dyDescent="0.25">
      <c r="A2534" s="4" t="str">
        <f>CONCATENATE("3071-0000-8443","")</f>
        <v>3071-0000-8443</v>
      </c>
      <c r="B2534" s="4" t="s">
        <v>5658</v>
      </c>
      <c r="C2534" s="5">
        <v>41489</v>
      </c>
      <c r="D2534" s="5">
        <v>41549</v>
      </c>
      <c r="E2534" s="4" t="s">
        <v>5185</v>
      </c>
      <c r="F2534" s="4" t="s">
        <v>5250</v>
      </c>
    </row>
    <row r="2535" spans="1:6" x14ac:dyDescent="0.25">
      <c r="A2535" s="4" t="str">
        <f>CONCATENATE("3071-0000-2763","")</f>
        <v>3071-0000-2763</v>
      </c>
      <c r="B2535" s="4" t="s">
        <v>858</v>
      </c>
      <c r="C2535" s="5">
        <v>41489</v>
      </c>
      <c r="D2535" s="5">
        <v>41549</v>
      </c>
      <c r="E2535" s="4" t="s">
        <v>7</v>
      </c>
      <c r="F2535" s="4" t="s">
        <v>808</v>
      </c>
    </row>
    <row r="2536" spans="1:6" x14ac:dyDescent="0.25">
      <c r="A2536" s="4" t="str">
        <f>CONCATENATE("3071-0000-1117","")</f>
        <v>3071-0000-1117</v>
      </c>
      <c r="B2536" s="4" t="s">
        <v>2021</v>
      </c>
      <c r="C2536" s="5">
        <v>41489</v>
      </c>
      <c r="D2536" s="5">
        <v>41549</v>
      </c>
      <c r="E2536" s="4" t="s">
        <v>1857</v>
      </c>
      <c r="F2536" s="4" t="s">
        <v>1857</v>
      </c>
    </row>
    <row r="2537" spans="1:6" x14ac:dyDescent="0.25">
      <c r="A2537" s="4" t="str">
        <f>CONCATENATE("3071-0000-5431","")</f>
        <v>3071-0000-5431</v>
      </c>
      <c r="B2537" s="4" t="s">
        <v>6620</v>
      </c>
      <c r="C2537" s="5">
        <v>41489</v>
      </c>
      <c r="D2537" s="5">
        <v>41549</v>
      </c>
      <c r="E2537" s="4" t="s">
        <v>5185</v>
      </c>
      <c r="F2537" s="4" t="s">
        <v>5185</v>
      </c>
    </row>
    <row r="2538" spans="1:6" x14ac:dyDescent="0.25">
      <c r="A2538" s="4" t="str">
        <f>CONCATENATE("3071-0000-0556","")</f>
        <v>3071-0000-0556</v>
      </c>
      <c r="B2538" s="4" t="s">
        <v>235</v>
      </c>
      <c r="C2538" s="5">
        <v>41489</v>
      </c>
      <c r="D2538" s="5">
        <v>41549</v>
      </c>
      <c r="E2538" s="4" t="s">
        <v>7</v>
      </c>
      <c r="F2538" s="4" t="s">
        <v>7</v>
      </c>
    </row>
    <row r="2539" spans="1:6" x14ac:dyDescent="0.25">
      <c r="A2539" s="4" t="str">
        <f>CONCATENATE("3071-0000-7206","")</f>
        <v>3071-0000-7206</v>
      </c>
      <c r="B2539" s="4" t="s">
        <v>4979</v>
      </c>
      <c r="C2539" s="5">
        <v>41489</v>
      </c>
      <c r="D2539" s="5">
        <v>41549</v>
      </c>
      <c r="E2539" s="4" t="s">
        <v>1410</v>
      </c>
      <c r="F2539" s="4" t="s">
        <v>1410</v>
      </c>
    </row>
    <row r="2540" spans="1:6" x14ac:dyDescent="0.25">
      <c r="A2540" s="4" t="str">
        <f>CONCATENATE("3071-0000-7205","")</f>
        <v>3071-0000-7205</v>
      </c>
      <c r="B2540" s="4" t="s">
        <v>4976</v>
      </c>
      <c r="C2540" s="5">
        <v>41489</v>
      </c>
      <c r="D2540" s="5">
        <v>41549</v>
      </c>
      <c r="E2540" s="4" t="s">
        <v>1410</v>
      </c>
      <c r="F2540" s="4" t="s">
        <v>4616</v>
      </c>
    </row>
    <row r="2541" spans="1:6" x14ac:dyDescent="0.25">
      <c r="A2541" s="4" t="str">
        <f>CONCATENATE("3071-0000-8697","")</f>
        <v>3071-0000-8697</v>
      </c>
      <c r="B2541" s="4" t="s">
        <v>6463</v>
      </c>
      <c r="C2541" s="5">
        <v>41489</v>
      </c>
      <c r="D2541" s="5">
        <v>41549</v>
      </c>
      <c r="E2541" s="4" t="s">
        <v>5185</v>
      </c>
      <c r="F2541" s="4" t="s">
        <v>5292</v>
      </c>
    </row>
    <row r="2542" spans="1:6" x14ac:dyDescent="0.25">
      <c r="A2542" s="4" t="str">
        <f>CONCATENATE("3071-0000-9486","")</f>
        <v>3071-0000-9486</v>
      </c>
      <c r="B2542" s="4" t="s">
        <v>8560</v>
      </c>
      <c r="C2542" s="5">
        <v>41489</v>
      </c>
      <c r="D2542" s="5">
        <v>41549</v>
      </c>
      <c r="E2542" s="4" t="s">
        <v>1410</v>
      </c>
      <c r="F2542" s="4" t="s">
        <v>4459</v>
      </c>
    </row>
    <row r="2543" spans="1:6" x14ac:dyDescent="0.25">
      <c r="A2543" s="4" t="str">
        <f>CONCATENATE("3071-0000-7922","")</f>
        <v>3071-0000-7922</v>
      </c>
      <c r="B2543" s="4" t="s">
        <v>5620</v>
      </c>
      <c r="C2543" s="5">
        <v>41489</v>
      </c>
      <c r="D2543" s="5">
        <v>41549</v>
      </c>
      <c r="E2543" s="4" t="s">
        <v>5185</v>
      </c>
      <c r="F2543" s="4" t="s">
        <v>5185</v>
      </c>
    </row>
    <row r="2544" spans="1:6" x14ac:dyDescent="0.25">
      <c r="A2544" s="4" t="str">
        <f>CONCATENATE("3071-0000-5412","")</f>
        <v>3071-0000-5412</v>
      </c>
      <c r="B2544" s="4" t="s">
        <v>6613</v>
      </c>
      <c r="C2544" s="5">
        <v>41489</v>
      </c>
      <c r="D2544" s="5">
        <v>41549</v>
      </c>
      <c r="E2544" s="4" t="s">
        <v>1410</v>
      </c>
      <c r="F2544" s="4" t="s">
        <v>4616</v>
      </c>
    </row>
    <row r="2545" spans="1:6" x14ac:dyDescent="0.25">
      <c r="A2545" s="4" t="str">
        <f>CONCATENATE("3071-0000-2395","")</f>
        <v>3071-0000-2395</v>
      </c>
      <c r="B2545" s="4" t="s">
        <v>3231</v>
      </c>
      <c r="C2545" s="5">
        <v>41489</v>
      </c>
      <c r="D2545" s="5">
        <v>41549</v>
      </c>
      <c r="E2545" s="4" t="s">
        <v>2944</v>
      </c>
      <c r="F2545" s="4" t="s">
        <v>3164</v>
      </c>
    </row>
    <row r="2546" spans="1:6" x14ac:dyDescent="0.25">
      <c r="A2546" s="4" t="str">
        <f>CONCATENATE("3071-0000-0885","")</f>
        <v>3071-0000-0885</v>
      </c>
      <c r="B2546" s="4" t="s">
        <v>2024</v>
      </c>
      <c r="C2546" s="5">
        <v>41489</v>
      </c>
      <c r="D2546" s="5">
        <v>41549</v>
      </c>
      <c r="E2546" s="4" t="s">
        <v>1857</v>
      </c>
      <c r="F2546" s="4" t="s">
        <v>1857</v>
      </c>
    </row>
    <row r="2547" spans="1:6" x14ac:dyDescent="0.25">
      <c r="A2547" s="4" t="str">
        <f>CONCATENATE("3071-0000-5225","")</f>
        <v>3071-0000-5225</v>
      </c>
      <c r="B2547" s="4" t="s">
        <v>6680</v>
      </c>
      <c r="C2547" s="5">
        <v>41489</v>
      </c>
      <c r="D2547" s="5">
        <v>41549</v>
      </c>
      <c r="E2547" s="4" t="s">
        <v>5185</v>
      </c>
      <c r="F2547" s="4" t="s">
        <v>5185</v>
      </c>
    </row>
    <row r="2548" spans="1:6" x14ac:dyDescent="0.25">
      <c r="A2548" s="4" t="str">
        <f>CONCATENATE("3071-0000-7567","")</f>
        <v>3071-0000-7567</v>
      </c>
      <c r="B2548" s="4" t="s">
        <v>5078</v>
      </c>
      <c r="C2548" s="5">
        <v>41489</v>
      </c>
      <c r="D2548" s="5">
        <v>41549</v>
      </c>
      <c r="E2548" s="4" t="s">
        <v>1410</v>
      </c>
      <c r="F2548" s="4" t="s">
        <v>4616</v>
      </c>
    </row>
    <row r="2549" spans="1:6" x14ac:dyDescent="0.25">
      <c r="A2549" s="4" t="str">
        <f>CONCATENATE("3071-0000-7960","")</f>
        <v>3071-0000-7960</v>
      </c>
      <c r="B2549" s="4" t="s">
        <v>5382</v>
      </c>
      <c r="C2549" s="5">
        <v>41489</v>
      </c>
      <c r="D2549" s="5">
        <v>41549</v>
      </c>
      <c r="E2549" s="4" t="s">
        <v>5185</v>
      </c>
      <c r="F2549" s="4" t="s">
        <v>5185</v>
      </c>
    </row>
    <row r="2550" spans="1:6" x14ac:dyDescent="0.25">
      <c r="A2550" s="4" t="str">
        <f>CONCATENATE("3071-0000-0437","")</f>
        <v>3071-0000-0437</v>
      </c>
      <c r="B2550" s="4" t="s">
        <v>685</v>
      </c>
      <c r="C2550" s="5">
        <v>41489</v>
      </c>
      <c r="D2550" s="5">
        <v>41549</v>
      </c>
      <c r="E2550" s="4" t="s">
        <v>7</v>
      </c>
      <c r="F2550" s="4" t="s">
        <v>7</v>
      </c>
    </row>
    <row r="2551" spans="1:6" x14ac:dyDescent="0.25">
      <c r="A2551" s="4" t="str">
        <f>CONCATENATE("3071-0000-5468","")</f>
        <v>3071-0000-5468</v>
      </c>
      <c r="B2551" s="4" t="s">
        <v>6616</v>
      </c>
      <c r="C2551" s="5">
        <v>41489</v>
      </c>
      <c r="D2551" s="5">
        <v>41549</v>
      </c>
      <c r="E2551" s="4" t="s">
        <v>5185</v>
      </c>
      <c r="F2551" s="4" t="s">
        <v>5185</v>
      </c>
    </row>
    <row r="2552" spans="1:6" x14ac:dyDescent="0.25">
      <c r="A2552" s="4" t="str">
        <f>CONCATENATE("3071-0000-7834","")</f>
        <v>3071-0000-7834</v>
      </c>
      <c r="B2552" s="4" t="s">
        <v>5821</v>
      </c>
      <c r="C2552" s="5">
        <v>41489</v>
      </c>
      <c r="D2552" s="5">
        <v>41549</v>
      </c>
      <c r="E2552" s="4" t="s">
        <v>5185</v>
      </c>
      <c r="F2552" s="4" t="s">
        <v>5185</v>
      </c>
    </row>
    <row r="2553" spans="1:6" x14ac:dyDescent="0.25">
      <c r="A2553" s="4" t="str">
        <f>CONCATENATE("3071-0000-1152","")</f>
        <v>3071-0000-1152</v>
      </c>
      <c r="B2553" s="4" t="s">
        <v>2178</v>
      </c>
      <c r="C2553" s="5">
        <v>41489</v>
      </c>
      <c r="D2553" s="5">
        <v>41549</v>
      </c>
      <c r="E2553" s="4" t="s">
        <v>1857</v>
      </c>
      <c r="F2553" s="4" t="s">
        <v>2144</v>
      </c>
    </row>
    <row r="2554" spans="1:6" x14ac:dyDescent="0.25">
      <c r="A2554" s="4" t="str">
        <f>CONCATENATE("3071-0000-7762","")</f>
        <v>3071-0000-7762</v>
      </c>
      <c r="B2554" s="4" t="s">
        <v>4890</v>
      </c>
      <c r="C2554" s="5">
        <v>41489</v>
      </c>
      <c r="D2554" s="5">
        <v>41549</v>
      </c>
      <c r="E2554" s="4" t="s">
        <v>1410</v>
      </c>
      <c r="F2554" s="4" t="s">
        <v>4655</v>
      </c>
    </row>
    <row r="2555" spans="1:6" x14ac:dyDescent="0.25">
      <c r="A2555" s="4" t="str">
        <f>CONCATENATE("3071-0000-9028","")</f>
        <v>3071-0000-9028</v>
      </c>
      <c r="B2555" s="4" t="s">
        <v>6495</v>
      </c>
      <c r="C2555" s="5">
        <v>41489</v>
      </c>
      <c r="D2555" s="5">
        <v>41549</v>
      </c>
      <c r="E2555" s="4" t="s">
        <v>5185</v>
      </c>
      <c r="F2555" s="4" t="s">
        <v>5292</v>
      </c>
    </row>
    <row r="2556" spans="1:6" x14ac:dyDescent="0.25">
      <c r="A2556" s="4" t="str">
        <f>CONCATENATE("3071-0000-8708","")</f>
        <v>3071-0000-8708</v>
      </c>
      <c r="B2556" s="4" t="s">
        <v>6485</v>
      </c>
      <c r="C2556" s="5">
        <v>41489</v>
      </c>
      <c r="D2556" s="5">
        <v>41549</v>
      </c>
      <c r="E2556" s="4" t="s">
        <v>5185</v>
      </c>
      <c r="F2556" s="4" t="s">
        <v>5292</v>
      </c>
    </row>
    <row r="2557" spans="1:6" x14ac:dyDescent="0.25">
      <c r="A2557" s="4" t="str">
        <f>CONCATENATE("3071-0000-7603","")</f>
        <v>3071-0000-7603</v>
      </c>
      <c r="B2557" s="4" t="s">
        <v>4337</v>
      </c>
      <c r="C2557" s="5">
        <v>41489</v>
      </c>
      <c r="D2557" s="5">
        <v>41549</v>
      </c>
      <c r="E2557" s="4" t="s">
        <v>1410</v>
      </c>
      <c r="F2557" s="4" t="s">
        <v>1410</v>
      </c>
    </row>
    <row r="2558" spans="1:6" x14ac:dyDescent="0.25">
      <c r="A2558" s="4" t="str">
        <f>CONCATENATE("3071-0000-8460","")</f>
        <v>3071-0000-8460</v>
      </c>
      <c r="B2558" s="4" t="s">
        <v>6056</v>
      </c>
      <c r="C2558" s="5">
        <v>41489</v>
      </c>
      <c r="D2558" s="5">
        <v>41549</v>
      </c>
      <c r="E2558" s="4" t="s">
        <v>5185</v>
      </c>
      <c r="F2558" s="4" t="s">
        <v>5945</v>
      </c>
    </row>
    <row r="2559" spans="1:6" x14ac:dyDescent="0.25">
      <c r="A2559" s="4" t="str">
        <f>CONCATENATE("3071-0000-7886","")</f>
        <v>3071-0000-7886</v>
      </c>
      <c r="B2559" s="4" t="s">
        <v>5972</v>
      </c>
      <c r="C2559" s="5">
        <v>41489</v>
      </c>
      <c r="D2559" s="5">
        <v>41549</v>
      </c>
      <c r="E2559" s="4" t="s">
        <v>5185</v>
      </c>
      <c r="F2559" s="4" t="s">
        <v>5185</v>
      </c>
    </row>
    <row r="2560" spans="1:6" x14ac:dyDescent="0.25">
      <c r="A2560" s="4" t="str">
        <f>CONCATENATE("3071-0000-8799","")</f>
        <v>3071-0000-8799</v>
      </c>
      <c r="B2560" s="4" t="s">
        <v>6552</v>
      </c>
      <c r="C2560" s="5">
        <v>41489</v>
      </c>
      <c r="D2560" s="5">
        <v>41549</v>
      </c>
      <c r="E2560" s="4" t="s">
        <v>5185</v>
      </c>
      <c r="F2560" s="4" t="s">
        <v>5292</v>
      </c>
    </row>
    <row r="2561" spans="1:6" x14ac:dyDescent="0.25">
      <c r="A2561" s="4" t="str">
        <f>CONCATENATE("3071-0000-6602","")</f>
        <v>3071-0000-6602</v>
      </c>
      <c r="B2561" s="4" t="s">
        <v>7985</v>
      </c>
      <c r="C2561" s="5">
        <v>41489</v>
      </c>
      <c r="D2561" s="5">
        <v>41549</v>
      </c>
      <c r="E2561" s="4" t="s">
        <v>5185</v>
      </c>
      <c r="F2561" s="4" t="s">
        <v>5185</v>
      </c>
    </row>
    <row r="2562" spans="1:6" x14ac:dyDescent="0.25">
      <c r="A2562" s="4" t="str">
        <f>CONCATENATE("3071-0000-4576","")</f>
        <v>3071-0000-4576</v>
      </c>
      <c r="B2562" s="4" t="s">
        <v>9597</v>
      </c>
      <c r="C2562" s="5">
        <v>41489</v>
      </c>
      <c r="D2562" s="5">
        <v>41549</v>
      </c>
      <c r="E2562" s="4" t="s">
        <v>1410</v>
      </c>
      <c r="F2562" s="4" t="s">
        <v>8696</v>
      </c>
    </row>
    <row r="2563" spans="1:6" x14ac:dyDescent="0.25">
      <c r="A2563" s="4" t="str">
        <f>CONCATENATE("3071-0000-9180","")</f>
        <v>3071-0000-9180</v>
      </c>
      <c r="B2563" s="4" t="s">
        <v>5953</v>
      </c>
      <c r="C2563" s="5">
        <v>41489</v>
      </c>
      <c r="D2563" s="5">
        <v>41549</v>
      </c>
      <c r="E2563" s="4" t="s">
        <v>5185</v>
      </c>
      <c r="F2563" s="4" t="s">
        <v>5945</v>
      </c>
    </row>
    <row r="2564" spans="1:6" x14ac:dyDescent="0.25">
      <c r="A2564" s="4" t="str">
        <f>CONCATENATE("3071-0000-8458","")</f>
        <v>3071-0000-8458</v>
      </c>
      <c r="B2564" s="4" t="s">
        <v>6069</v>
      </c>
      <c r="C2564" s="5">
        <v>41489</v>
      </c>
      <c r="D2564" s="5">
        <v>41549</v>
      </c>
      <c r="E2564" s="4" t="s">
        <v>5185</v>
      </c>
      <c r="F2564" s="4" t="s">
        <v>5945</v>
      </c>
    </row>
    <row r="2565" spans="1:6" x14ac:dyDescent="0.25">
      <c r="A2565" s="4" t="str">
        <f>CONCATENATE("3071-0000-9181","")</f>
        <v>3071-0000-9181</v>
      </c>
      <c r="B2565" s="4" t="s">
        <v>5955</v>
      </c>
      <c r="C2565" s="5">
        <v>41489</v>
      </c>
      <c r="D2565" s="5">
        <v>41549</v>
      </c>
      <c r="E2565" s="4" t="s">
        <v>5185</v>
      </c>
      <c r="F2565" s="4" t="s">
        <v>5945</v>
      </c>
    </row>
    <row r="2566" spans="1:6" x14ac:dyDescent="0.25">
      <c r="A2566" s="4" t="str">
        <f>CONCATENATE("3071-0000-8232","")</f>
        <v>3071-0000-8232</v>
      </c>
      <c r="B2566" s="4" t="s">
        <v>5728</v>
      </c>
      <c r="C2566" s="5">
        <v>41489</v>
      </c>
      <c r="D2566" s="5">
        <v>41549</v>
      </c>
      <c r="E2566" s="4" t="s">
        <v>5185</v>
      </c>
      <c r="F2566" s="4" t="s">
        <v>5185</v>
      </c>
    </row>
    <row r="2567" spans="1:6" x14ac:dyDescent="0.25">
      <c r="A2567" s="4" t="str">
        <f>CONCATENATE("3071-0000-8078","")</f>
        <v>3071-0000-8078</v>
      </c>
      <c r="B2567" s="4" t="s">
        <v>5921</v>
      </c>
      <c r="C2567" s="5">
        <v>41489</v>
      </c>
      <c r="D2567" s="5">
        <v>41549</v>
      </c>
      <c r="E2567" s="4" t="s">
        <v>5185</v>
      </c>
      <c r="F2567" s="4" t="s">
        <v>5185</v>
      </c>
    </row>
    <row r="2568" spans="1:6" x14ac:dyDescent="0.25">
      <c r="A2568" s="4" t="str">
        <f>CONCATENATE("3071-0000-5070","")</f>
        <v>3071-0000-5070</v>
      </c>
      <c r="B2568" s="4" t="s">
        <v>9571</v>
      </c>
      <c r="C2568" s="5">
        <v>41489</v>
      </c>
      <c r="D2568" s="5">
        <v>41549</v>
      </c>
      <c r="E2568" s="4" t="s">
        <v>7069</v>
      </c>
      <c r="F2568" s="4" t="s">
        <v>9485</v>
      </c>
    </row>
    <row r="2569" spans="1:6" x14ac:dyDescent="0.25">
      <c r="A2569" s="4" t="str">
        <f>CONCATENATE("3071-0000-8991","")</f>
        <v>3071-0000-8991</v>
      </c>
      <c r="B2569" s="4" t="s">
        <v>6106</v>
      </c>
      <c r="C2569" s="5">
        <v>41489</v>
      </c>
      <c r="D2569" s="5">
        <v>41549</v>
      </c>
      <c r="E2569" s="4" t="s">
        <v>5185</v>
      </c>
      <c r="F2569" s="4" t="s">
        <v>5945</v>
      </c>
    </row>
    <row r="2570" spans="1:6" x14ac:dyDescent="0.25">
      <c r="A2570" s="4" t="str">
        <f>CONCATENATE("3071-0000-8464","")</f>
        <v>3071-0000-8464</v>
      </c>
      <c r="B2570" s="4" t="s">
        <v>6048</v>
      </c>
      <c r="C2570" s="5">
        <v>41489</v>
      </c>
      <c r="D2570" s="5">
        <v>41549</v>
      </c>
      <c r="E2570" s="4" t="s">
        <v>5185</v>
      </c>
      <c r="F2570" s="4" t="s">
        <v>5945</v>
      </c>
    </row>
    <row r="2571" spans="1:6" x14ac:dyDescent="0.25">
      <c r="A2571" s="4" t="str">
        <f>CONCATENATE("3071-0000-8099","")</f>
        <v>3071-0000-8099</v>
      </c>
      <c r="B2571" s="4" t="s">
        <v>6008</v>
      </c>
      <c r="C2571" s="5">
        <v>41489</v>
      </c>
      <c r="D2571" s="5">
        <v>41549</v>
      </c>
      <c r="E2571" s="4" t="s">
        <v>5185</v>
      </c>
      <c r="F2571" s="4" t="s">
        <v>5185</v>
      </c>
    </row>
    <row r="2572" spans="1:6" x14ac:dyDescent="0.25">
      <c r="A2572" s="4" t="str">
        <f>CONCATENATE("3071-0000-8473","")</f>
        <v>3071-0000-8473</v>
      </c>
      <c r="B2572" s="4" t="s">
        <v>6063</v>
      </c>
      <c r="C2572" s="5">
        <v>41489</v>
      </c>
      <c r="D2572" s="5">
        <v>41549</v>
      </c>
      <c r="E2572" s="4" t="s">
        <v>5185</v>
      </c>
      <c r="F2572" s="4" t="s">
        <v>5945</v>
      </c>
    </row>
    <row r="2573" spans="1:6" x14ac:dyDescent="0.25">
      <c r="A2573" s="4" t="str">
        <f>CONCATENATE("3071-0000-8462","")</f>
        <v>3071-0000-8462</v>
      </c>
      <c r="B2573" s="4" t="s">
        <v>6054</v>
      </c>
      <c r="C2573" s="5">
        <v>41489</v>
      </c>
      <c r="D2573" s="5">
        <v>41549</v>
      </c>
      <c r="E2573" s="4" t="s">
        <v>5185</v>
      </c>
      <c r="F2573" s="4" t="s">
        <v>5945</v>
      </c>
    </row>
    <row r="2574" spans="1:6" x14ac:dyDescent="0.25">
      <c r="A2574" s="4" t="str">
        <f>CONCATENATE("3071-0000-8065","")</f>
        <v>3071-0000-8065</v>
      </c>
      <c r="B2574" s="4" t="s">
        <v>5894</v>
      </c>
      <c r="C2574" s="5">
        <v>41489</v>
      </c>
      <c r="D2574" s="5">
        <v>41549</v>
      </c>
      <c r="E2574" s="4" t="s">
        <v>5185</v>
      </c>
      <c r="F2574" s="4" t="s">
        <v>5185</v>
      </c>
    </row>
    <row r="2575" spans="1:6" x14ac:dyDescent="0.25">
      <c r="A2575" s="4" t="str">
        <f>CONCATENATE("3071-0000-3604","")</f>
        <v>3071-0000-3604</v>
      </c>
      <c r="B2575" s="4" t="s">
        <v>1542</v>
      </c>
      <c r="C2575" s="5">
        <v>41489</v>
      </c>
      <c r="D2575" s="5">
        <v>41549</v>
      </c>
      <c r="E2575" s="4" t="s">
        <v>1410</v>
      </c>
      <c r="F2575" s="4" t="s">
        <v>1411</v>
      </c>
    </row>
    <row r="2576" spans="1:6" x14ac:dyDescent="0.25">
      <c r="A2576" s="4" t="str">
        <f>CONCATENATE("3071-0000-0372","")</f>
        <v>3071-0000-0372</v>
      </c>
      <c r="B2576" s="4" t="s">
        <v>489</v>
      </c>
      <c r="C2576" s="5">
        <v>41489</v>
      </c>
      <c r="D2576" s="5">
        <v>41549</v>
      </c>
      <c r="E2576" s="4" t="s">
        <v>7</v>
      </c>
      <c r="F2576" s="4" t="s">
        <v>7</v>
      </c>
    </row>
    <row r="2577" spans="1:6" x14ac:dyDescent="0.25">
      <c r="A2577" s="4" t="str">
        <f>CONCATENATE("3071-0000-1346","")</f>
        <v>3071-0000-1346</v>
      </c>
      <c r="B2577" s="4" t="s">
        <v>2482</v>
      </c>
      <c r="C2577" s="5">
        <v>41489</v>
      </c>
      <c r="D2577" s="5">
        <v>41549</v>
      </c>
      <c r="E2577" s="4" t="s">
        <v>1381</v>
      </c>
      <c r="F2577" s="4" t="s">
        <v>2303</v>
      </c>
    </row>
    <row r="2578" spans="1:6" x14ac:dyDescent="0.25">
      <c r="A2578" s="4" t="str">
        <f>CONCATENATE("3071-0000-4191","")</f>
        <v>3071-0000-4191</v>
      </c>
      <c r="B2578" s="4" t="s">
        <v>3923</v>
      </c>
      <c r="C2578" s="5">
        <v>41489</v>
      </c>
      <c r="D2578" s="5">
        <v>41549</v>
      </c>
      <c r="E2578" s="4" t="s">
        <v>7</v>
      </c>
      <c r="F2578" s="4" t="s">
        <v>1419</v>
      </c>
    </row>
    <row r="2579" spans="1:6" x14ac:dyDescent="0.25">
      <c r="A2579" s="4" t="str">
        <f>CONCATENATE("3071-0000-4192","")</f>
        <v>3071-0000-4192</v>
      </c>
      <c r="B2579" s="4" t="s">
        <v>3914</v>
      </c>
      <c r="C2579" s="5">
        <v>41489</v>
      </c>
      <c r="D2579" s="5">
        <v>41549</v>
      </c>
      <c r="E2579" s="4" t="s">
        <v>7</v>
      </c>
      <c r="F2579" s="4" t="s">
        <v>1419</v>
      </c>
    </row>
    <row r="2580" spans="1:6" x14ac:dyDescent="0.25">
      <c r="A2580" s="4" t="str">
        <f>CONCATENATE("3071-0000-1707","")</f>
        <v>3071-0000-1707</v>
      </c>
      <c r="B2580" s="4" t="s">
        <v>2797</v>
      </c>
      <c r="C2580" s="5">
        <v>41489</v>
      </c>
      <c r="D2580" s="5">
        <v>41549</v>
      </c>
      <c r="E2580" s="4" t="s">
        <v>1381</v>
      </c>
      <c r="F2580" s="4" t="s">
        <v>2533</v>
      </c>
    </row>
    <row r="2581" spans="1:6" x14ac:dyDescent="0.25">
      <c r="A2581" s="4" t="str">
        <f>CONCATENATE("3071-0000-1541","")</f>
        <v>3071-0000-1541</v>
      </c>
      <c r="B2581" s="4" t="s">
        <v>2810</v>
      </c>
      <c r="C2581" s="5">
        <v>41489</v>
      </c>
      <c r="D2581" s="5">
        <v>41549</v>
      </c>
      <c r="E2581" s="4" t="s">
        <v>1381</v>
      </c>
      <c r="F2581" s="4" t="s">
        <v>2303</v>
      </c>
    </row>
    <row r="2582" spans="1:6" x14ac:dyDescent="0.25">
      <c r="A2582" s="4" t="str">
        <f>CONCATENATE("3071-0000-4053","")</f>
        <v>3071-0000-4053</v>
      </c>
      <c r="B2582" s="4" t="s">
        <v>3980</v>
      </c>
      <c r="C2582" s="5">
        <v>41489</v>
      </c>
      <c r="D2582" s="5">
        <v>41549</v>
      </c>
      <c r="E2582" s="4" t="s">
        <v>7</v>
      </c>
      <c r="F2582" s="4" t="s">
        <v>1419</v>
      </c>
    </row>
    <row r="2583" spans="1:6" x14ac:dyDescent="0.25">
      <c r="A2583" s="4" t="str">
        <f>CONCATENATE("3071-0000-1496","")</f>
        <v>3071-0000-1496</v>
      </c>
      <c r="B2583" s="4" t="s">
        <v>2803</v>
      </c>
      <c r="C2583" s="5">
        <v>41489</v>
      </c>
      <c r="D2583" s="5">
        <v>41549</v>
      </c>
      <c r="E2583" s="4" t="s">
        <v>1381</v>
      </c>
      <c r="F2583" s="4" t="s">
        <v>2303</v>
      </c>
    </row>
    <row r="2584" spans="1:6" x14ac:dyDescent="0.25">
      <c r="A2584" s="4" t="str">
        <f>CONCATENATE("3071-0000-5670","")</f>
        <v>3071-0000-5670</v>
      </c>
      <c r="B2584" s="4" t="s">
        <v>6968</v>
      </c>
      <c r="C2584" s="5">
        <v>41489</v>
      </c>
      <c r="D2584" s="5">
        <v>41549</v>
      </c>
      <c r="E2584" s="4" t="s">
        <v>5185</v>
      </c>
      <c r="F2584" s="4" t="s">
        <v>5185</v>
      </c>
    </row>
    <row r="2585" spans="1:6" x14ac:dyDescent="0.25">
      <c r="A2585" s="4" t="str">
        <f>CONCATENATE("3071-0000-0707","")</f>
        <v>3071-0000-0707</v>
      </c>
      <c r="B2585" s="4" t="s">
        <v>220</v>
      </c>
      <c r="C2585" s="5">
        <v>41489</v>
      </c>
      <c r="D2585" s="5">
        <v>41549</v>
      </c>
      <c r="E2585" s="4" t="s">
        <v>7</v>
      </c>
      <c r="F2585" s="4" t="s">
        <v>7</v>
      </c>
    </row>
    <row r="2586" spans="1:6" x14ac:dyDescent="0.25">
      <c r="A2586" s="4" t="str">
        <f>CONCATENATE("3071-0000-2035","")</f>
        <v>3071-0000-2035</v>
      </c>
      <c r="B2586" s="4" t="s">
        <v>3361</v>
      </c>
      <c r="C2586" s="5">
        <v>41489</v>
      </c>
      <c r="D2586" s="5">
        <v>41549</v>
      </c>
      <c r="E2586" s="4" t="s">
        <v>2944</v>
      </c>
      <c r="F2586" s="4" t="s">
        <v>2945</v>
      </c>
    </row>
    <row r="2587" spans="1:6" x14ac:dyDescent="0.25">
      <c r="A2587" s="4" t="str">
        <f>CONCATENATE("3071-0000-1821","")</f>
        <v>3071-0000-1821</v>
      </c>
      <c r="B2587" s="4" t="s">
        <v>2435</v>
      </c>
      <c r="C2587" s="5">
        <v>41489</v>
      </c>
      <c r="D2587" s="5">
        <v>41549</v>
      </c>
      <c r="E2587" s="4" t="s">
        <v>1381</v>
      </c>
      <c r="F2587" s="4" t="s">
        <v>2303</v>
      </c>
    </row>
    <row r="2588" spans="1:6" x14ac:dyDescent="0.25">
      <c r="A2588" s="4" t="str">
        <f>CONCATENATE("3071-0000-2419","")</f>
        <v>3071-0000-2419</v>
      </c>
      <c r="B2588" s="4" t="s">
        <v>3002</v>
      </c>
      <c r="C2588" s="5">
        <v>41489</v>
      </c>
      <c r="D2588" s="5">
        <v>41549</v>
      </c>
      <c r="E2588" s="4" t="s">
        <v>2944</v>
      </c>
      <c r="F2588" s="4" t="s">
        <v>2945</v>
      </c>
    </row>
    <row r="2589" spans="1:6" x14ac:dyDescent="0.25">
      <c r="A2589" s="4" t="str">
        <f>CONCATENATE("3071-0000-2121","")</f>
        <v>3071-0000-2121</v>
      </c>
      <c r="B2589" s="4" t="s">
        <v>3539</v>
      </c>
      <c r="C2589" s="5">
        <v>41489</v>
      </c>
      <c r="D2589" s="5">
        <v>41549</v>
      </c>
      <c r="E2589" s="4" t="s">
        <v>2944</v>
      </c>
      <c r="F2589" s="4" t="s">
        <v>2945</v>
      </c>
    </row>
    <row r="2590" spans="1:6" x14ac:dyDescent="0.25">
      <c r="A2590" s="4" t="str">
        <f>CONCATENATE("3071-0000-2029","")</f>
        <v>3071-0000-2029</v>
      </c>
      <c r="B2590" s="4" t="s">
        <v>3326</v>
      </c>
      <c r="C2590" s="5">
        <v>41489</v>
      </c>
      <c r="D2590" s="5">
        <v>41549</v>
      </c>
      <c r="E2590" s="4" t="s">
        <v>2944</v>
      </c>
      <c r="F2590" s="4" t="s">
        <v>2945</v>
      </c>
    </row>
    <row r="2591" spans="1:6" x14ac:dyDescent="0.25">
      <c r="A2591" s="4" t="str">
        <f>CONCATENATE("3071-0000-0111","")</f>
        <v>3071-0000-0111</v>
      </c>
      <c r="B2591" s="4" t="s">
        <v>228</v>
      </c>
      <c r="C2591" s="5">
        <v>41489</v>
      </c>
      <c r="D2591" s="5">
        <v>41549</v>
      </c>
      <c r="E2591" s="4" t="s">
        <v>7</v>
      </c>
      <c r="F2591" s="4" t="s">
        <v>7</v>
      </c>
    </row>
    <row r="2592" spans="1:6" x14ac:dyDescent="0.25">
      <c r="A2592" s="4" t="str">
        <f>CONCATENATE("3071-0000-4415","")</f>
        <v>3071-0000-4415</v>
      </c>
      <c r="B2592" s="4" t="s">
        <v>9278</v>
      </c>
      <c r="C2592" s="5">
        <v>41489</v>
      </c>
      <c r="D2592" s="5">
        <v>41549</v>
      </c>
      <c r="E2592" s="4" t="s">
        <v>1410</v>
      </c>
      <c r="F2592" s="4" t="s">
        <v>8696</v>
      </c>
    </row>
    <row r="2593" spans="1:6" x14ac:dyDescent="0.25">
      <c r="A2593" s="4" t="str">
        <f>CONCATENATE("3071-0000-4357","")</f>
        <v>3071-0000-4357</v>
      </c>
      <c r="B2593" s="4" t="s">
        <v>9410</v>
      </c>
      <c r="C2593" s="5">
        <v>41489</v>
      </c>
      <c r="D2593" s="5">
        <v>41549</v>
      </c>
      <c r="E2593" s="4" t="s">
        <v>1410</v>
      </c>
      <c r="F2593" s="4" t="s">
        <v>8696</v>
      </c>
    </row>
    <row r="2594" spans="1:6" x14ac:dyDescent="0.25">
      <c r="A2594" s="4" t="str">
        <f>CONCATENATE("3071-0000-5038","")</f>
        <v>3071-0000-5038</v>
      </c>
      <c r="B2594" s="4" t="s">
        <v>9286</v>
      </c>
      <c r="C2594" s="5">
        <v>41489</v>
      </c>
      <c r="D2594" s="5">
        <v>41549</v>
      </c>
      <c r="E2594" s="4" t="s">
        <v>7069</v>
      </c>
      <c r="F2594" s="4" t="s">
        <v>9210</v>
      </c>
    </row>
    <row r="2595" spans="1:6" x14ac:dyDescent="0.25">
      <c r="A2595" s="4" t="str">
        <f>CONCATENATE("3071-0000-4825","")</f>
        <v>3071-0000-4825</v>
      </c>
      <c r="B2595" s="4" t="s">
        <v>9294</v>
      </c>
      <c r="C2595" s="5">
        <v>41489</v>
      </c>
      <c r="D2595" s="5">
        <v>41549</v>
      </c>
      <c r="E2595" s="4" t="s">
        <v>1410</v>
      </c>
      <c r="F2595" s="4" t="s">
        <v>8696</v>
      </c>
    </row>
    <row r="2596" spans="1:6" x14ac:dyDescent="0.25">
      <c r="A2596" s="4" t="str">
        <f>CONCATENATE("3071-0000-4530","")</f>
        <v>3071-0000-4530</v>
      </c>
      <c r="B2596" s="4" t="s">
        <v>9550</v>
      </c>
      <c r="C2596" s="5">
        <v>41489</v>
      </c>
      <c r="D2596" s="5">
        <v>41549</v>
      </c>
      <c r="E2596" s="4" t="s">
        <v>1410</v>
      </c>
      <c r="F2596" s="4" t="s">
        <v>8696</v>
      </c>
    </row>
    <row r="2597" spans="1:6" x14ac:dyDescent="0.25">
      <c r="A2597" s="4" t="str">
        <f>CONCATENATE("3071-0000-5931","")</f>
        <v>3071-0000-5931</v>
      </c>
      <c r="B2597" s="4" t="s">
        <v>7403</v>
      </c>
      <c r="C2597" s="5">
        <v>41489</v>
      </c>
      <c r="D2597" s="5">
        <v>41549</v>
      </c>
      <c r="E2597" s="4" t="s">
        <v>5185</v>
      </c>
      <c r="F2597" s="4" t="s">
        <v>5185</v>
      </c>
    </row>
    <row r="2598" spans="1:6" x14ac:dyDescent="0.25">
      <c r="A2598" s="4" t="str">
        <f>CONCATENATE("3071-0000-4478","")</f>
        <v>3071-0000-4478</v>
      </c>
      <c r="B2598" s="4" t="s">
        <v>9369</v>
      </c>
      <c r="C2598" s="5">
        <v>41489</v>
      </c>
      <c r="D2598" s="5">
        <v>41549</v>
      </c>
      <c r="E2598" s="4" t="s">
        <v>1410</v>
      </c>
      <c r="F2598" s="4" t="s">
        <v>8696</v>
      </c>
    </row>
    <row r="2599" spans="1:6" x14ac:dyDescent="0.25">
      <c r="A2599" s="4" t="str">
        <f>CONCATENATE("3071-0000-3417","")</f>
        <v>3071-0000-3417</v>
      </c>
      <c r="B2599" s="4" t="s">
        <v>1602</v>
      </c>
      <c r="C2599" s="5">
        <v>41489</v>
      </c>
      <c r="D2599" s="5">
        <v>41549</v>
      </c>
      <c r="E2599" s="4" t="s">
        <v>1410</v>
      </c>
      <c r="F2599" s="4" t="s">
        <v>1411</v>
      </c>
    </row>
    <row r="2600" spans="1:6" x14ac:dyDescent="0.25">
      <c r="A2600" s="4" t="str">
        <f>CONCATENATE("3071-0000-3056","")</f>
        <v>3071-0000-3056</v>
      </c>
      <c r="B2600" s="4" t="s">
        <v>1408</v>
      </c>
      <c r="C2600" s="5">
        <v>41489</v>
      </c>
      <c r="D2600" s="5">
        <v>41549</v>
      </c>
      <c r="E2600" s="4" t="s">
        <v>7</v>
      </c>
      <c r="F2600" s="4" t="s">
        <v>808</v>
      </c>
    </row>
    <row r="2601" spans="1:6" x14ac:dyDescent="0.25">
      <c r="A2601" s="4" t="str">
        <f>CONCATENATE("3071-0000-2682","")</f>
        <v>3071-0000-2682</v>
      </c>
      <c r="B2601" s="4" t="s">
        <v>3274</v>
      </c>
      <c r="C2601" s="5">
        <v>41489</v>
      </c>
      <c r="D2601" s="5">
        <v>41549</v>
      </c>
      <c r="E2601" s="4" t="s">
        <v>2944</v>
      </c>
      <c r="F2601" s="4" t="s">
        <v>3164</v>
      </c>
    </row>
    <row r="2602" spans="1:6" x14ac:dyDescent="0.25">
      <c r="A2602" s="4" t="str">
        <f>CONCATENATE("3071-0000-0019","")</f>
        <v>3071-0000-0019</v>
      </c>
      <c r="B2602" s="4" t="s">
        <v>36</v>
      </c>
      <c r="C2602" s="5">
        <v>41489</v>
      </c>
      <c r="D2602" s="5">
        <v>41549</v>
      </c>
      <c r="E2602" s="4" t="s">
        <v>7</v>
      </c>
      <c r="F2602" s="4" t="s">
        <v>7</v>
      </c>
    </row>
    <row r="2603" spans="1:6" x14ac:dyDescent="0.25">
      <c r="A2603" s="4" t="str">
        <f>CONCATENATE("3071-0000-3526","")</f>
        <v>3071-0000-3526</v>
      </c>
      <c r="B2603" s="4" t="s">
        <v>1850</v>
      </c>
      <c r="C2603" s="5">
        <v>41489</v>
      </c>
      <c r="D2603" s="5">
        <v>41549</v>
      </c>
      <c r="E2603" s="4" t="s">
        <v>1410</v>
      </c>
      <c r="F2603" s="4" t="s">
        <v>1411</v>
      </c>
    </row>
    <row r="2604" spans="1:6" x14ac:dyDescent="0.25">
      <c r="A2604" s="4" t="str">
        <f>CONCATENATE("3071-0000-3517","")</f>
        <v>3071-0000-3517</v>
      </c>
      <c r="B2604" s="4" t="s">
        <v>1838</v>
      </c>
      <c r="C2604" s="5">
        <v>41489</v>
      </c>
      <c r="D2604" s="5">
        <v>41549</v>
      </c>
      <c r="E2604" s="4" t="s">
        <v>1410</v>
      </c>
      <c r="F2604" s="4" t="s">
        <v>1411</v>
      </c>
    </row>
    <row r="2605" spans="1:6" x14ac:dyDescent="0.25">
      <c r="A2605" s="4" t="str">
        <f>CONCATENATE("3071-0000-3000","")</f>
        <v>3071-0000-3000</v>
      </c>
      <c r="B2605" s="4" t="s">
        <v>1039</v>
      </c>
      <c r="C2605" s="5">
        <v>41489</v>
      </c>
      <c r="D2605" s="5">
        <v>41549</v>
      </c>
      <c r="E2605" s="4" t="s">
        <v>7</v>
      </c>
      <c r="F2605" s="4" t="s">
        <v>808</v>
      </c>
    </row>
    <row r="2606" spans="1:6" x14ac:dyDescent="0.25">
      <c r="A2606" s="4" t="str">
        <f>CONCATENATE("3071-0000-3570","")</f>
        <v>3071-0000-3570</v>
      </c>
      <c r="B2606" s="4" t="s">
        <v>1514</v>
      </c>
      <c r="C2606" s="5">
        <v>41489</v>
      </c>
      <c r="D2606" s="5">
        <v>41549</v>
      </c>
      <c r="E2606" s="4" t="s">
        <v>1410</v>
      </c>
      <c r="F2606" s="4" t="s">
        <v>1411</v>
      </c>
    </row>
    <row r="2607" spans="1:6" x14ac:dyDescent="0.25">
      <c r="A2607" s="4" t="str">
        <f>CONCATENATE("3071-0000-6810","")</f>
        <v>3071-0000-6810</v>
      </c>
      <c r="B2607" s="4" t="s">
        <v>8267</v>
      </c>
      <c r="C2607" s="5">
        <v>41489</v>
      </c>
      <c r="D2607" s="5">
        <v>41549</v>
      </c>
      <c r="E2607" s="4" t="s">
        <v>1410</v>
      </c>
      <c r="F2607" s="4" t="s">
        <v>7967</v>
      </c>
    </row>
    <row r="2608" spans="1:6" x14ac:dyDescent="0.25">
      <c r="A2608" s="4" t="str">
        <f>CONCATENATE("3071-0000-3174","")</f>
        <v>3071-0000-3174</v>
      </c>
      <c r="B2608" s="4" t="s">
        <v>1284</v>
      </c>
      <c r="C2608" s="5">
        <v>41489</v>
      </c>
      <c r="D2608" s="5">
        <v>41549</v>
      </c>
      <c r="E2608" s="4" t="s">
        <v>7</v>
      </c>
      <c r="F2608" s="4" t="s">
        <v>808</v>
      </c>
    </row>
    <row r="2609" spans="1:6" x14ac:dyDescent="0.25">
      <c r="A2609" s="4" t="str">
        <f>CONCATENATE("3071-0000-2335","")</f>
        <v>3071-0000-2335</v>
      </c>
      <c r="B2609" s="4" t="s">
        <v>3705</v>
      </c>
      <c r="C2609" s="5">
        <v>41489</v>
      </c>
      <c r="D2609" s="5">
        <v>41549</v>
      </c>
      <c r="E2609" s="4" t="s">
        <v>2944</v>
      </c>
      <c r="F2609" s="4" t="s">
        <v>2945</v>
      </c>
    </row>
    <row r="2610" spans="1:6" x14ac:dyDescent="0.25">
      <c r="A2610" s="4" t="str">
        <f>CONCATENATE("3071-0000-0543","")</f>
        <v>3071-0000-0543</v>
      </c>
      <c r="B2610" s="4" t="s">
        <v>385</v>
      </c>
      <c r="C2610" s="5">
        <v>41489</v>
      </c>
      <c r="D2610" s="5">
        <v>41549</v>
      </c>
      <c r="E2610" s="4" t="s">
        <v>7</v>
      </c>
      <c r="F2610" s="4" t="s">
        <v>273</v>
      </c>
    </row>
    <row r="2611" spans="1:6" x14ac:dyDescent="0.25">
      <c r="A2611" s="4" t="str">
        <f>CONCATENATE("3071-0000-2652","")</f>
        <v>3071-0000-2652</v>
      </c>
      <c r="B2611" s="4" t="s">
        <v>3458</v>
      </c>
      <c r="C2611" s="5">
        <v>41489</v>
      </c>
      <c r="D2611" s="5">
        <v>41549</v>
      </c>
      <c r="E2611" s="4" t="s">
        <v>2944</v>
      </c>
      <c r="F2611" s="4" t="s">
        <v>3434</v>
      </c>
    </row>
    <row r="2612" spans="1:6" x14ac:dyDescent="0.25">
      <c r="A2612" s="4" t="str">
        <f>CONCATENATE("3071-0000-3637","")</f>
        <v>3071-0000-3637</v>
      </c>
      <c r="B2612" s="4" t="s">
        <v>1555</v>
      </c>
      <c r="C2612" s="5">
        <v>41489</v>
      </c>
      <c r="D2612" s="5">
        <v>41549</v>
      </c>
      <c r="E2612" s="4" t="s">
        <v>1410</v>
      </c>
      <c r="F2612" s="4" t="s">
        <v>1411</v>
      </c>
    </row>
    <row r="2613" spans="1:6" x14ac:dyDescent="0.25">
      <c r="A2613" s="4" t="str">
        <f>CONCATENATE("3071-0000-0488","")</f>
        <v>3071-0000-0488</v>
      </c>
      <c r="B2613" s="4" t="s">
        <v>590</v>
      </c>
      <c r="C2613" s="5">
        <v>41489</v>
      </c>
      <c r="D2613" s="5">
        <v>41549</v>
      </c>
      <c r="E2613" s="4" t="s">
        <v>7</v>
      </c>
      <c r="F2613" s="4" t="s">
        <v>7</v>
      </c>
    </row>
    <row r="2614" spans="1:6" x14ac:dyDescent="0.25">
      <c r="A2614" s="4" t="str">
        <f>CONCATENATE("3071-0000-0071","")</f>
        <v>3071-0000-0071</v>
      </c>
      <c r="B2614" s="4" t="s">
        <v>137</v>
      </c>
      <c r="C2614" s="5">
        <v>41489</v>
      </c>
      <c r="D2614" s="5">
        <v>41549</v>
      </c>
      <c r="E2614" s="4" t="s">
        <v>7</v>
      </c>
      <c r="F2614" s="4" t="s">
        <v>7</v>
      </c>
    </row>
    <row r="2615" spans="1:6" x14ac:dyDescent="0.25">
      <c r="A2615" s="4" t="str">
        <f>CONCATENATE("3071-0000-4093","")</f>
        <v>3071-0000-4093</v>
      </c>
      <c r="B2615" s="4" t="s">
        <v>3864</v>
      </c>
      <c r="C2615" s="5">
        <v>41489</v>
      </c>
      <c r="D2615" s="5">
        <v>41549</v>
      </c>
      <c r="E2615" s="4" t="s">
        <v>7</v>
      </c>
      <c r="F2615" s="4" t="s">
        <v>3818</v>
      </c>
    </row>
    <row r="2616" spans="1:6" x14ac:dyDescent="0.25">
      <c r="A2616" s="4" t="str">
        <f>CONCATENATE("3071-0000-2965","")</f>
        <v>3071-0000-2965</v>
      </c>
      <c r="B2616" s="4" t="s">
        <v>928</v>
      </c>
      <c r="C2616" s="5">
        <v>41489</v>
      </c>
      <c r="D2616" s="5">
        <v>41549</v>
      </c>
      <c r="E2616" s="4" t="s">
        <v>7</v>
      </c>
      <c r="F2616" s="4" t="s">
        <v>808</v>
      </c>
    </row>
    <row r="2617" spans="1:6" x14ac:dyDescent="0.25">
      <c r="A2617" s="4" t="str">
        <f>CONCATENATE("3071-0000-0102","")</f>
        <v>3071-0000-0102</v>
      </c>
      <c r="B2617" s="4" t="s">
        <v>198</v>
      </c>
      <c r="C2617" s="5">
        <v>41489</v>
      </c>
      <c r="D2617" s="5">
        <v>41549</v>
      </c>
      <c r="E2617" s="4" t="s">
        <v>7</v>
      </c>
      <c r="F2617" s="4" t="s">
        <v>7</v>
      </c>
    </row>
    <row r="2618" spans="1:6" x14ac:dyDescent="0.25">
      <c r="A2618" s="4" t="str">
        <f>CONCATENATE("3071-0000-3326","")</f>
        <v>3071-0000-3326</v>
      </c>
      <c r="B2618" s="4" t="s">
        <v>971</v>
      </c>
      <c r="C2618" s="5">
        <v>41489</v>
      </c>
      <c r="D2618" s="5">
        <v>41549</v>
      </c>
      <c r="E2618" s="4" t="s">
        <v>7</v>
      </c>
      <c r="F2618" s="4" t="s">
        <v>808</v>
      </c>
    </row>
    <row r="2619" spans="1:6" x14ac:dyDescent="0.25">
      <c r="A2619" s="4" t="str">
        <f>CONCATENATE("3071-0000-2635","")</f>
        <v>3071-0000-2635</v>
      </c>
      <c r="B2619" s="4" t="s">
        <v>3207</v>
      </c>
      <c r="C2619" s="5">
        <v>41489</v>
      </c>
      <c r="D2619" s="5">
        <v>41549</v>
      </c>
      <c r="E2619" s="4" t="s">
        <v>2944</v>
      </c>
      <c r="F2619" s="4" t="s">
        <v>3164</v>
      </c>
    </row>
    <row r="2620" spans="1:6" x14ac:dyDescent="0.25">
      <c r="A2620" s="4" t="str">
        <f>CONCATENATE("3071-0000-2687","")</f>
        <v>3071-0000-2687</v>
      </c>
      <c r="B2620" s="4" t="s">
        <v>3272</v>
      </c>
      <c r="C2620" s="5">
        <v>41489</v>
      </c>
      <c r="D2620" s="5">
        <v>41549</v>
      </c>
      <c r="E2620" s="4" t="s">
        <v>2944</v>
      </c>
      <c r="F2620" s="4" t="s">
        <v>3164</v>
      </c>
    </row>
    <row r="2621" spans="1:6" x14ac:dyDescent="0.25">
      <c r="A2621" s="4" t="str">
        <f>CONCATENATE("3071-0000-1774","")</f>
        <v>3071-0000-1774</v>
      </c>
      <c r="B2621" s="4" t="s">
        <v>2687</v>
      </c>
      <c r="C2621" s="5">
        <v>41489</v>
      </c>
      <c r="D2621" s="5">
        <v>41549</v>
      </c>
      <c r="E2621" s="4" t="s">
        <v>1381</v>
      </c>
      <c r="F2621" s="4" t="s">
        <v>2662</v>
      </c>
    </row>
    <row r="2622" spans="1:6" x14ac:dyDescent="0.25">
      <c r="A2622" s="4" t="str">
        <f>CONCATENATE("3071-0000-0222","")</f>
        <v>3071-0000-0222</v>
      </c>
      <c r="B2622" s="4" t="s">
        <v>470</v>
      </c>
      <c r="C2622" s="5">
        <v>41489</v>
      </c>
      <c r="D2622" s="5">
        <v>41549</v>
      </c>
      <c r="E2622" s="4" t="s">
        <v>7</v>
      </c>
      <c r="F2622" s="4" t="s">
        <v>7</v>
      </c>
    </row>
    <row r="2623" spans="1:6" x14ac:dyDescent="0.25">
      <c r="A2623" s="4" t="str">
        <f>CONCATENATE("3071-0000-3389","")</f>
        <v>3071-0000-3389</v>
      </c>
      <c r="B2623" s="4" t="s">
        <v>1536</v>
      </c>
      <c r="C2623" s="5">
        <v>41489</v>
      </c>
      <c r="D2623" s="5">
        <v>41549</v>
      </c>
      <c r="E2623" s="4" t="s">
        <v>1410</v>
      </c>
      <c r="F2623" s="4" t="s">
        <v>1411</v>
      </c>
    </row>
    <row r="2624" spans="1:6" x14ac:dyDescent="0.25">
      <c r="A2624" s="4" t="str">
        <f>CONCATENATE("3071-0000-3468","")</f>
        <v>3071-0000-3468</v>
      </c>
      <c r="B2624" s="4" t="s">
        <v>1756</v>
      </c>
      <c r="C2624" s="5">
        <v>41489</v>
      </c>
      <c r="D2624" s="5">
        <v>41549</v>
      </c>
      <c r="E2624" s="4" t="s">
        <v>1410</v>
      </c>
      <c r="F2624" s="4" t="s">
        <v>1411</v>
      </c>
    </row>
    <row r="2625" spans="1:6" x14ac:dyDescent="0.25">
      <c r="A2625" s="4" t="str">
        <f>CONCATENATE("3071-0000-7901","")</f>
        <v>3071-0000-7901</v>
      </c>
      <c r="B2625" s="4" t="s">
        <v>5461</v>
      </c>
      <c r="C2625" s="5">
        <v>41489</v>
      </c>
      <c r="D2625" s="5">
        <v>41549</v>
      </c>
      <c r="E2625" s="4" t="s">
        <v>5185</v>
      </c>
      <c r="F2625" s="4" t="s">
        <v>5185</v>
      </c>
    </row>
    <row r="2626" spans="1:6" x14ac:dyDescent="0.25">
      <c r="A2626" s="4" t="str">
        <f>CONCATENATE("3071-0000-0432","")</f>
        <v>3071-0000-0432</v>
      </c>
      <c r="B2626" s="4" t="s">
        <v>628</v>
      </c>
      <c r="C2626" s="5">
        <v>41489</v>
      </c>
      <c r="D2626" s="5">
        <v>41549</v>
      </c>
      <c r="E2626" s="4" t="s">
        <v>7</v>
      </c>
      <c r="F2626" s="4" t="s">
        <v>7</v>
      </c>
    </row>
    <row r="2627" spans="1:6" x14ac:dyDescent="0.25">
      <c r="A2627" s="4" t="str">
        <f>CONCATENATE("3071-0000-1896","")</f>
        <v>3071-0000-1896</v>
      </c>
      <c r="B2627" s="4" t="s">
        <v>2960</v>
      </c>
      <c r="C2627" s="5">
        <v>41489</v>
      </c>
      <c r="D2627" s="5">
        <v>41549</v>
      </c>
      <c r="E2627" s="4" t="s">
        <v>2944</v>
      </c>
      <c r="F2627" s="4" t="s">
        <v>2945</v>
      </c>
    </row>
    <row r="2628" spans="1:6" x14ac:dyDescent="0.25">
      <c r="A2628" s="4" t="str">
        <f>CONCATENATE("3071-0000-7164","")</f>
        <v>3071-0000-7164</v>
      </c>
      <c r="B2628" s="4" t="s">
        <v>5115</v>
      </c>
      <c r="C2628" s="5">
        <v>41489</v>
      </c>
      <c r="D2628" s="5">
        <v>41549</v>
      </c>
      <c r="E2628" s="4" t="s">
        <v>1410</v>
      </c>
      <c r="F2628" s="4" t="s">
        <v>1410</v>
      </c>
    </row>
    <row r="2629" spans="1:6" x14ac:dyDescent="0.25">
      <c r="A2629" s="4" t="str">
        <f>CONCATENATE("3071-0000-3149","")</f>
        <v>3071-0000-3149</v>
      </c>
      <c r="B2629" s="4" t="s">
        <v>1046</v>
      </c>
      <c r="C2629" s="5">
        <v>41489</v>
      </c>
      <c r="D2629" s="5">
        <v>41549</v>
      </c>
      <c r="E2629" s="4" t="s">
        <v>7</v>
      </c>
      <c r="F2629" s="4" t="s">
        <v>808</v>
      </c>
    </row>
    <row r="2630" spans="1:6" x14ac:dyDescent="0.25">
      <c r="A2630" s="4" t="str">
        <f>CONCATENATE("3071-0000-7904","")</f>
        <v>3071-0000-7904</v>
      </c>
      <c r="B2630" s="4" t="s">
        <v>5469</v>
      </c>
      <c r="C2630" s="5">
        <v>41489</v>
      </c>
      <c r="D2630" s="5">
        <v>41549</v>
      </c>
      <c r="E2630" s="4" t="s">
        <v>5185</v>
      </c>
      <c r="F2630" s="4" t="s">
        <v>5185</v>
      </c>
    </row>
    <row r="2631" spans="1:6" x14ac:dyDescent="0.25">
      <c r="A2631" s="4" t="str">
        <f>CONCATENATE("3071-0000-0548","")</f>
        <v>3071-0000-0548</v>
      </c>
      <c r="B2631" s="4" t="s">
        <v>640</v>
      </c>
      <c r="C2631" s="5">
        <v>41489</v>
      </c>
      <c r="D2631" s="5">
        <v>41549</v>
      </c>
      <c r="E2631" s="4" t="s">
        <v>7</v>
      </c>
      <c r="F2631" s="4" t="s">
        <v>7</v>
      </c>
    </row>
    <row r="2632" spans="1:6" x14ac:dyDescent="0.25">
      <c r="A2632" s="4" t="str">
        <f>CONCATENATE("3071-0000-4174","")</f>
        <v>3071-0000-4174</v>
      </c>
      <c r="B2632" s="4" t="s">
        <v>3996</v>
      </c>
      <c r="C2632" s="5">
        <v>41489</v>
      </c>
      <c r="D2632" s="5">
        <v>41549</v>
      </c>
      <c r="E2632" s="4" t="s">
        <v>1381</v>
      </c>
      <c r="F2632" s="4" t="s">
        <v>3994</v>
      </c>
    </row>
    <row r="2633" spans="1:6" x14ac:dyDescent="0.25">
      <c r="A2633" s="4" t="str">
        <f>CONCATENATE("3071-0000-3344","")</f>
        <v>3071-0000-3344</v>
      </c>
      <c r="B2633" s="4" t="s">
        <v>1467</v>
      </c>
      <c r="C2633" s="5">
        <v>41489</v>
      </c>
      <c r="D2633" s="5">
        <v>41549</v>
      </c>
      <c r="E2633" s="4" t="s">
        <v>1410</v>
      </c>
      <c r="F2633" s="4" t="s">
        <v>1411</v>
      </c>
    </row>
    <row r="2634" spans="1:6" x14ac:dyDescent="0.25">
      <c r="A2634" s="4" t="str">
        <f>CONCATENATE("3071-0000-2457","")</f>
        <v>3071-0000-2457</v>
      </c>
      <c r="B2634" s="4" t="s">
        <v>3667</v>
      </c>
      <c r="C2634" s="5">
        <v>41489</v>
      </c>
      <c r="D2634" s="5">
        <v>41549</v>
      </c>
      <c r="E2634" s="4" t="s">
        <v>2944</v>
      </c>
      <c r="F2634" s="4" t="s">
        <v>3164</v>
      </c>
    </row>
    <row r="2635" spans="1:6" x14ac:dyDescent="0.25">
      <c r="A2635" s="4" t="str">
        <f>CONCATENATE("3071-0000-3709","")</f>
        <v>3071-0000-3709</v>
      </c>
      <c r="B2635" s="4" t="s">
        <v>1442</v>
      </c>
      <c r="C2635" s="5">
        <v>41489</v>
      </c>
      <c r="D2635" s="5">
        <v>41549</v>
      </c>
      <c r="E2635" s="4" t="s">
        <v>1410</v>
      </c>
      <c r="F2635" s="4" t="s">
        <v>1411</v>
      </c>
    </row>
    <row r="2636" spans="1:6" x14ac:dyDescent="0.25">
      <c r="A2636" s="4" t="str">
        <f>CONCATENATE("3071-0000-3723","")</f>
        <v>3071-0000-3723</v>
      </c>
      <c r="B2636" s="4" t="s">
        <v>1432</v>
      </c>
      <c r="C2636" s="5">
        <v>41489</v>
      </c>
      <c r="D2636" s="5">
        <v>41549</v>
      </c>
      <c r="E2636" s="4" t="s">
        <v>1410</v>
      </c>
      <c r="F2636" s="4" t="s">
        <v>1411</v>
      </c>
    </row>
    <row r="2637" spans="1:6" x14ac:dyDescent="0.25">
      <c r="A2637" s="4" t="str">
        <f>CONCATENATE("3071-0000-0064","")</f>
        <v>3071-0000-0064</v>
      </c>
      <c r="B2637" s="4" t="s">
        <v>125</v>
      </c>
      <c r="C2637" s="5">
        <v>41489</v>
      </c>
      <c r="D2637" s="5">
        <v>41549</v>
      </c>
      <c r="E2637" s="4" t="s">
        <v>7</v>
      </c>
      <c r="F2637" s="4" t="s">
        <v>7</v>
      </c>
    </row>
    <row r="2638" spans="1:6" x14ac:dyDescent="0.25">
      <c r="A2638" s="4" t="str">
        <f>CONCATENATE("3071-0000-8517","")</f>
        <v>3071-0000-8517</v>
      </c>
      <c r="B2638" s="4" t="s">
        <v>5796</v>
      </c>
      <c r="C2638" s="5">
        <v>41489</v>
      </c>
      <c r="D2638" s="5">
        <v>41549</v>
      </c>
      <c r="E2638" s="4" t="s">
        <v>5185</v>
      </c>
      <c r="F2638" s="4" t="s">
        <v>5763</v>
      </c>
    </row>
    <row r="2639" spans="1:6" x14ac:dyDescent="0.25">
      <c r="A2639" s="4" t="str">
        <f>CONCATENATE("3071-0000-0282","")</f>
        <v>3071-0000-0282</v>
      </c>
      <c r="B2639" s="4" t="s">
        <v>674</v>
      </c>
      <c r="C2639" s="5">
        <v>41489</v>
      </c>
      <c r="D2639" s="5">
        <v>41549</v>
      </c>
      <c r="E2639" s="4" t="s">
        <v>7</v>
      </c>
      <c r="F2639" s="4" t="s">
        <v>7</v>
      </c>
    </row>
    <row r="2640" spans="1:6" x14ac:dyDescent="0.25">
      <c r="A2640" s="4" t="str">
        <f>CONCATENATE("3071-0000-8259","")</f>
        <v>3071-0000-8259</v>
      </c>
      <c r="B2640" s="4" t="s">
        <v>5525</v>
      </c>
      <c r="C2640" s="5">
        <v>41489</v>
      </c>
      <c r="D2640" s="5">
        <v>41549</v>
      </c>
      <c r="E2640" s="4" t="s">
        <v>5185</v>
      </c>
      <c r="F2640" s="4" t="s">
        <v>5185</v>
      </c>
    </row>
    <row r="2641" spans="1:6" x14ac:dyDescent="0.25">
      <c r="A2641" s="4" t="str">
        <f>CONCATENATE("3071-0000-7985","")</f>
        <v>3071-0000-7985</v>
      </c>
      <c r="B2641" s="4" t="s">
        <v>5960</v>
      </c>
      <c r="C2641" s="5">
        <v>41489</v>
      </c>
      <c r="D2641" s="5">
        <v>41549</v>
      </c>
      <c r="E2641" s="4" t="s">
        <v>5185</v>
      </c>
      <c r="F2641" s="4" t="s">
        <v>5185</v>
      </c>
    </row>
    <row r="2642" spans="1:6" x14ac:dyDescent="0.25">
      <c r="A2642" s="4" t="str">
        <f>CONCATENATE("3071-0000-1672","")</f>
        <v>3071-0000-1672</v>
      </c>
      <c r="B2642" s="4" t="s">
        <v>2592</v>
      </c>
      <c r="C2642" s="5">
        <v>41489</v>
      </c>
      <c r="D2642" s="5">
        <v>41549</v>
      </c>
      <c r="E2642" s="4" t="s">
        <v>1381</v>
      </c>
      <c r="F2642" s="4" t="s">
        <v>2303</v>
      </c>
    </row>
    <row r="2643" spans="1:6" x14ac:dyDescent="0.25">
      <c r="A2643" s="4" t="str">
        <f>CONCATENATE("3071-0000-0164","")</f>
        <v>3071-0000-0164</v>
      </c>
      <c r="B2643" s="4" t="s">
        <v>348</v>
      </c>
      <c r="C2643" s="5">
        <v>41489</v>
      </c>
      <c r="D2643" s="5">
        <v>41549</v>
      </c>
      <c r="E2643" s="4" t="s">
        <v>7</v>
      </c>
      <c r="F2643" s="4" t="s">
        <v>7</v>
      </c>
    </row>
    <row r="2644" spans="1:6" x14ac:dyDescent="0.25">
      <c r="A2644" s="4" t="str">
        <f>CONCATENATE("3071-0000-0081","")</f>
        <v>3071-0000-0081</v>
      </c>
      <c r="B2644" s="4" t="s">
        <v>147</v>
      </c>
      <c r="C2644" s="5">
        <v>41489</v>
      </c>
      <c r="D2644" s="5">
        <v>41549</v>
      </c>
      <c r="E2644" s="4" t="s">
        <v>7</v>
      </c>
      <c r="F2644" s="4" t="s">
        <v>7</v>
      </c>
    </row>
    <row r="2645" spans="1:6" x14ac:dyDescent="0.25">
      <c r="A2645" s="4" t="str">
        <f>CONCATENATE("3071-0000-0558","")</f>
        <v>3071-0000-0558</v>
      </c>
      <c r="B2645" s="4" t="s">
        <v>451</v>
      </c>
      <c r="C2645" s="5">
        <v>41489</v>
      </c>
      <c r="D2645" s="5">
        <v>41549</v>
      </c>
      <c r="E2645" s="4" t="s">
        <v>7</v>
      </c>
      <c r="F2645" s="4" t="s">
        <v>7</v>
      </c>
    </row>
    <row r="2646" spans="1:6" x14ac:dyDescent="0.25">
      <c r="A2646" s="4" t="str">
        <f>CONCATENATE("3071-0000-2153","")</f>
        <v>3071-0000-2153</v>
      </c>
      <c r="B2646" s="4" t="s">
        <v>3172</v>
      </c>
      <c r="C2646" s="5">
        <v>41489</v>
      </c>
      <c r="D2646" s="5">
        <v>41549</v>
      </c>
      <c r="E2646" s="4" t="s">
        <v>2944</v>
      </c>
      <c r="F2646" s="4" t="s">
        <v>2945</v>
      </c>
    </row>
    <row r="2647" spans="1:6" x14ac:dyDescent="0.25">
      <c r="A2647" s="4" t="str">
        <f>CONCATENATE("3071-0000-3341","")</f>
        <v>3071-0000-3341</v>
      </c>
      <c r="B2647" s="4" t="s">
        <v>1421</v>
      </c>
      <c r="C2647" s="5">
        <v>41489</v>
      </c>
      <c r="D2647" s="5">
        <v>41549</v>
      </c>
      <c r="E2647" s="4" t="s">
        <v>1410</v>
      </c>
      <c r="F2647" s="4" t="s">
        <v>1411</v>
      </c>
    </row>
    <row r="2648" spans="1:6" x14ac:dyDescent="0.25">
      <c r="A2648" s="4" t="str">
        <f>CONCATENATE("3071-0000-0072","")</f>
        <v>3071-0000-0072</v>
      </c>
      <c r="B2648" s="4" t="s">
        <v>138</v>
      </c>
      <c r="C2648" s="5">
        <v>41489</v>
      </c>
      <c r="D2648" s="5">
        <v>41549</v>
      </c>
      <c r="E2648" s="4" t="s">
        <v>7</v>
      </c>
      <c r="F2648" s="4" t="s">
        <v>7</v>
      </c>
    </row>
    <row r="2649" spans="1:6" x14ac:dyDescent="0.25">
      <c r="A2649" s="4" t="str">
        <f>CONCATENATE("3071-0000-1837","")</f>
        <v>3071-0000-1837</v>
      </c>
      <c r="B2649" s="4" t="s">
        <v>2568</v>
      </c>
      <c r="C2649" s="5">
        <v>41489</v>
      </c>
      <c r="D2649" s="5">
        <v>41549</v>
      </c>
      <c r="E2649" s="4" t="s">
        <v>1381</v>
      </c>
      <c r="F2649" s="4" t="s">
        <v>2303</v>
      </c>
    </row>
    <row r="2650" spans="1:6" x14ac:dyDescent="0.25">
      <c r="A2650" s="4" t="str">
        <f>CONCATENATE("3071-0000-2120","")</f>
        <v>3071-0000-2120</v>
      </c>
      <c r="B2650" s="4" t="s">
        <v>3535</v>
      </c>
      <c r="C2650" s="5">
        <v>41489</v>
      </c>
      <c r="D2650" s="5">
        <v>41549</v>
      </c>
      <c r="E2650" s="4" t="s">
        <v>2944</v>
      </c>
      <c r="F2650" s="4" t="s">
        <v>2945</v>
      </c>
    </row>
    <row r="2651" spans="1:6" x14ac:dyDescent="0.25">
      <c r="A2651" s="4" t="str">
        <f>CONCATENATE("3071-0000-0599","")</f>
        <v>3071-0000-0599</v>
      </c>
      <c r="B2651" s="4" t="s">
        <v>652</v>
      </c>
      <c r="C2651" s="5">
        <v>41489</v>
      </c>
      <c r="D2651" s="5">
        <v>41549</v>
      </c>
      <c r="E2651" s="4" t="s">
        <v>7</v>
      </c>
      <c r="F2651" s="4" t="s">
        <v>7</v>
      </c>
    </row>
    <row r="2652" spans="1:6" x14ac:dyDescent="0.25">
      <c r="A2652" s="4" t="str">
        <f>CONCATENATE("3071-0000-3462","")</f>
        <v>3071-0000-3462</v>
      </c>
      <c r="B2652" s="4" t="s">
        <v>1750</v>
      </c>
      <c r="C2652" s="5">
        <v>41489</v>
      </c>
      <c r="D2652" s="5">
        <v>41549</v>
      </c>
      <c r="E2652" s="4" t="s">
        <v>1410</v>
      </c>
      <c r="F2652" s="4" t="s">
        <v>1411</v>
      </c>
    </row>
    <row r="2653" spans="1:6" x14ac:dyDescent="0.25">
      <c r="A2653" s="4" t="str">
        <f>CONCATENATE("3071-0000-2071","")</f>
        <v>3071-0000-2071</v>
      </c>
      <c r="B2653" s="4" t="s">
        <v>3451</v>
      </c>
      <c r="C2653" s="5">
        <v>41489</v>
      </c>
      <c r="D2653" s="5">
        <v>41549</v>
      </c>
      <c r="E2653" s="4" t="s">
        <v>2944</v>
      </c>
      <c r="F2653" s="4" t="s">
        <v>2945</v>
      </c>
    </row>
    <row r="2654" spans="1:6" x14ac:dyDescent="0.25">
      <c r="A2654" s="4" t="str">
        <f>CONCATENATE("3071-0000-1626","")</f>
        <v>3071-0000-1626</v>
      </c>
      <c r="B2654" s="4" t="s">
        <v>2404</v>
      </c>
      <c r="C2654" s="5">
        <v>41489</v>
      </c>
      <c r="D2654" s="5">
        <v>41549</v>
      </c>
      <c r="E2654" s="4" t="s">
        <v>1381</v>
      </c>
      <c r="F2654" s="4" t="s">
        <v>2303</v>
      </c>
    </row>
    <row r="2655" spans="1:6" x14ac:dyDescent="0.25">
      <c r="A2655" s="4" t="str">
        <f>CONCATENATE("3071-0000-2215","")</f>
        <v>3071-0000-2215</v>
      </c>
      <c r="B2655" s="4" t="s">
        <v>3674</v>
      </c>
      <c r="C2655" s="5">
        <v>41489</v>
      </c>
      <c r="D2655" s="5">
        <v>41549</v>
      </c>
      <c r="E2655" s="4" t="s">
        <v>2944</v>
      </c>
      <c r="F2655" s="4" t="s">
        <v>2945</v>
      </c>
    </row>
    <row r="2656" spans="1:6" x14ac:dyDescent="0.25">
      <c r="A2656" s="4" t="str">
        <f>CONCATENATE("3071-0000-3324","")</f>
        <v>3071-0000-3324</v>
      </c>
      <c r="B2656" s="4" t="s">
        <v>1237</v>
      </c>
      <c r="C2656" s="5">
        <v>41489</v>
      </c>
      <c r="D2656" s="5">
        <v>41549</v>
      </c>
      <c r="E2656" s="4" t="s">
        <v>7</v>
      </c>
      <c r="F2656" s="4" t="s">
        <v>808</v>
      </c>
    </row>
    <row r="2657" spans="1:6" x14ac:dyDescent="0.25">
      <c r="A2657" s="4" t="str">
        <f>CONCATENATE("3071-0000-0105","")</f>
        <v>3071-0000-0105</v>
      </c>
      <c r="B2657" s="4" t="s">
        <v>211</v>
      </c>
      <c r="C2657" s="5">
        <v>41489</v>
      </c>
      <c r="D2657" s="5">
        <v>41549</v>
      </c>
      <c r="E2657" s="4" t="s">
        <v>7</v>
      </c>
      <c r="F2657" s="4" t="s">
        <v>7</v>
      </c>
    </row>
    <row r="2658" spans="1:6" x14ac:dyDescent="0.25">
      <c r="A2658" s="4" t="str">
        <f>CONCATENATE("3071-0000-4740","")</f>
        <v>3071-0000-4740</v>
      </c>
      <c r="B2658" s="4" t="s">
        <v>9646</v>
      </c>
      <c r="C2658" s="5">
        <v>41489</v>
      </c>
      <c r="D2658" s="5">
        <v>41549</v>
      </c>
      <c r="E2658" s="4" t="s">
        <v>1410</v>
      </c>
      <c r="F2658" s="4" t="s">
        <v>8696</v>
      </c>
    </row>
    <row r="2659" spans="1:6" x14ac:dyDescent="0.25">
      <c r="A2659" s="4" t="str">
        <f>CONCATENATE("3071-0000-2625","")</f>
        <v>3071-0000-2625</v>
      </c>
      <c r="B2659" s="4" t="s">
        <v>3102</v>
      </c>
      <c r="C2659" s="5">
        <v>41489</v>
      </c>
      <c r="D2659" s="5">
        <v>41549</v>
      </c>
      <c r="E2659" s="4" t="s">
        <v>2944</v>
      </c>
      <c r="F2659" s="4" t="s">
        <v>2945</v>
      </c>
    </row>
    <row r="2660" spans="1:6" x14ac:dyDescent="0.25">
      <c r="A2660" s="4" t="str">
        <f>CONCATENATE("3071-0000-2270","")</f>
        <v>3071-0000-2270</v>
      </c>
      <c r="B2660" s="4" t="s">
        <v>3784</v>
      </c>
      <c r="C2660" s="5">
        <v>41489</v>
      </c>
      <c r="D2660" s="5">
        <v>41549</v>
      </c>
      <c r="E2660" s="4" t="s">
        <v>2944</v>
      </c>
      <c r="F2660" s="4" t="s">
        <v>2945</v>
      </c>
    </row>
    <row r="2661" spans="1:6" x14ac:dyDescent="0.25">
      <c r="A2661" s="4" t="str">
        <f>CONCATENATE("3071-0000-8355","")</f>
        <v>3071-0000-8355</v>
      </c>
      <c r="B2661" s="4" t="s">
        <v>5826</v>
      </c>
      <c r="C2661" s="5">
        <v>41489</v>
      </c>
      <c r="D2661" s="5">
        <v>41549</v>
      </c>
      <c r="E2661" s="4" t="s">
        <v>5185</v>
      </c>
      <c r="F2661" s="4" t="s">
        <v>5185</v>
      </c>
    </row>
    <row r="2662" spans="1:6" x14ac:dyDescent="0.25">
      <c r="A2662" s="4" t="str">
        <f>CONCATENATE("3071-0000-8817","")</f>
        <v>3071-0000-8817</v>
      </c>
      <c r="B2662" s="4" t="s">
        <v>5927</v>
      </c>
      <c r="C2662" s="5">
        <v>41489</v>
      </c>
      <c r="D2662" s="5">
        <v>41549</v>
      </c>
      <c r="E2662" s="4" t="s">
        <v>5185</v>
      </c>
      <c r="F2662" s="4" t="s">
        <v>4188</v>
      </c>
    </row>
    <row r="2663" spans="1:6" x14ac:dyDescent="0.25">
      <c r="A2663" s="4" t="str">
        <f>CONCATENATE("3071-0000-0739","")</f>
        <v>3071-0000-0739</v>
      </c>
      <c r="B2663" s="4" t="s">
        <v>707</v>
      </c>
      <c r="C2663" s="5">
        <v>41489</v>
      </c>
      <c r="D2663" s="5">
        <v>41549</v>
      </c>
      <c r="E2663" s="4" t="s">
        <v>7</v>
      </c>
      <c r="F2663" s="4" t="s">
        <v>7</v>
      </c>
    </row>
    <row r="2664" spans="1:6" x14ac:dyDescent="0.25">
      <c r="A2664" s="4" t="str">
        <f>CONCATENATE("3071-0000-3363","")</f>
        <v>3071-0000-3363</v>
      </c>
      <c r="B2664" s="4" t="s">
        <v>1498</v>
      </c>
      <c r="C2664" s="5">
        <v>41489</v>
      </c>
      <c r="D2664" s="5">
        <v>41549</v>
      </c>
      <c r="E2664" s="4" t="s">
        <v>1410</v>
      </c>
      <c r="F2664" s="4" t="s">
        <v>1411</v>
      </c>
    </row>
    <row r="2665" spans="1:6" x14ac:dyDescent="0.25">
      <c r="A2665" s="4" t="str">
        <f>CONCATENATE("3071-0000-6104","")</f>
        <v>3071-0000-6104</v>
      </c>
      <c r="B2665" s="4" t="s">
        <v>7703</v>
      </c>
      <c r="C2665" s="5">
        <v>41489</v>
      </c>
      <c r="D2665" s="5">
        <v>41549</v>
      </c>
      <c r="E2665" s="4" t="s">
        <v>1410</v>
      </c>
      <c r="F2665" s="4" t="s">
        <v>1410</v>
      </c>
    </row>
    <row r="2666" spans="1:6" x14ac:dyDescent="0.25">
      <c r="A2666" s="4" t="str">
        <f>CONCATENATE("3071-0000-4721","")</f>
        <v>3071-0000-4721</v>
      </c>
      <c r="B2666" s="4" t="s">
        <v>9681</v>
      </c>
      <c r="C2666" s="5">
        <v>41489</v>
      </c>
      <c r="D2666" s="5">
        <v>41549</v>
      </c>
      <c r="E2666" s="4" t="s">
        <v>1410</v>
      </c>
      <c r="F2666" s="4" t="s">
        <v>8696</v>
      </c>
    </row>
    <row r="2667" spans="1:6" x14ac:dyDescent="0.25">
      <c r="A2667" s="4" t="str">
        <f>CONCATENATE("3071-0000-2853","")</f>
        <v>3071-0000-2853</v>
      </c>
      <c r="B2667" s="4" t="s">
        <v>878</v>
      </c>
      <c r="C2667" s="5">
        <v>41489</v>
      </c>
      <c r="D2667" s="5">
        <v>41549</v>
      </c>
      <c r="E2667" s="4" t="s">
        <v>7</v>
      </c>
      <c r="F2667" s="4" t="s">
        <v>808</v>
      </c>
    </row>
    <row r="2668" spans="1:6" x14ac:dyDescent="0.25">
      <c r="A2668" s="4" t="str">
        <f>CONCATENATE("3071-0000-7717","")</f>
        <v>3071-0000-7717</v>
      </c>
      <c r="B2668" s="4" t="s">
        <v>4695</v>
      </c>
      <c r="C2668" s="5">
        <v>41489</v>
      </c>
      <c r="D2668" s="5">
        <v>41549</v>
      </c>
      <c r="E2668" s="4" t="s">
        <v>1410</v>
      </c>
      <c r="F2668" s="4" t="s">
        <v>4655</v>
      </c>
    </row>
    <row r="2669" spans="1:6" x14ac:dyDescent="0.25">
      <c r="A2669" s="4" t="str">
        <f>CONCATENATE("3071-0000-5796","")</f>
        <v>3071-0000-5796</v>
      </c>
      <c r="B2669" s="4" t="s">
        <v>7491</v>
      </c>
      <c r="C2669" s="5">
        <v>41489</v>
      </c>
      <c r="D2669" s="5">
        <v>41549</v>
      </c>
      <c r="E2669" s="4" t="s">
        <v>5185</v>
      </c>
      <c r="F2669" s="4" t="s">
        <v>5185</v>
      </c>
    </row>
    <row r="2670" spans="1:6" x14ac:dyDescent="0.25">
      <c r="A2670" s="4" t="str">
        <f>CONCATENATE("3071-0000-5797","")</f>
        <v>3071-0000-5797</v>
      </c>
      <c r="B2670" s="4" t="s">
        <v>7480</v>
      </c>
      <c r="C2670" s="5">
        <v>41489</v>
      </c>
      <c r="D2670" s="5">
        <v>41549</v>
      </c>
      <c r="E2670" s="4" t="s">
        <v>5185</v>
      </c>
      <c r="F2670" s="4" t="s">
        <v>5185</v>
      </c>
    </row>
    <row r="2671" spans="1:6" x14ac:dyDescent="0.25">
      <c r="A2671" s="4" t="str">
        <f>CONCATENATE("3071-0000-7511","")</f>
        <v>3071-0000-7511</v>
      </c>
      <c r="B2671" s="4" t="s">
        <v>4463</v>
      </c>
      <c r="C2671" s="5">
        <v>41489</v>
      </c>
      <c r="D2671" s="5">
        <v>41549</v>
      </c>
      <c r="E2671" s="4" t="s">
        <v>1410</v>
      </c>
      <c r="F2671" s="4" t="s">
        <v>1410</v>
      </c>
    </row>
    <row r="2672" spans="1:6" x14ac:dyDescent="0.25">
      <c r="A2672" s="4" t="str">
        <f>CONCATENATE("3071-0000-0117","")</f>
        <v>3071-0000-0117</v>
      </c>
      <c r="B2672" s="4" t="s">
        <v>251</v>
      </c>
      <c r="C2672" s="5">
        <v>41489</v>
      </c>
      <c r="D2672" s="5">
        <v>41549</v>
      </c>
      <c r="E2672" s="4" t="s">
        <v>7</v>
      </c>
      <c r="F2672" s="4" t="s">
        <v>7</v>
      </c>
    </row>
    <row r="2673" spans="1:6" x14ac:dyDescent="0.25">
      <c r="A2673" s="4" t="str">
        <f>CONCATENATE("3071-0000-6179","")</f>
        <v>3071-0000-6179</v>
      </c>
      <c r="B2673" s="4" t="s">
        <v>7688</v>
      </c>
      <c r="C2673" s="5">
        <v>41489</v>
      </c>
      <c r="D2673" s="5">
        <v>41549</v>
      </c>
      <c r="E2673" s="4" t="s">
        <v>1410</v>
      </c>
      <c r="F2673" s="4" t="s">
        <v>1410</v>
      </c>
    </row>
    <row r="2674" spans="1:6" x14ac:dyDescent="0.25">
      <c r="A2674" s="4" t="str">
        <f>CONCATENATE("3071-0000-6177","")</f>
        <v>3071-0000-6177</v>
      </c>
      <c r="B2674" s="4" t="s">
        <v>7686</v>
      </c>
      <c r="C2674" s="5">
        <v>41489</v>
      </c>
      <c r="D2674" s="5">
        <v>41549</v>
      </c>
      <c r="E2674" s="4" t="s">
        <v>1410</v>
      </c>
      <c r="F2674" s="4" t="s">
        <v>1410</v>
      </c>
    </row>
    <row r="2675" spans="1:6" x14ac:dyDescent="0.25">
      <c r="A2675" s="4" t="str">
        <f>CONCATENATE("3071-0000-6167","")</f>
        <v>3071-0000-6167</v>
      </c>
      <c r="B2675" s="4" t="s">
        <v>7693</v>
      </c>
      <c r="C2675" s="5">
        <v>41489</v>
      </c>
      <c r="D2675" s="5">
        <v>41549</v>
      </c>
      <c r="E2675" s="4" t="s">
        <v>1410</v>
      </c>
      <c r="F2675" s="4" t="s">
        <v>1410</v>
      </c>
    </row>
    <row r="2676" spans="1:6" x14ac:dyDescent="0.25">
      <c r="A2676" s="4" t="str">
        <f>CONCATENATE("3071-0000-3539","")</f>
        <v>3071-0000-3539</v>
      </c>
      <c r="B2676" s="4" t="s">
        <v>1525</v>
      </c>
      <c r="C2676" s="5">
        <v>41489</v>
      </c>
      <c r="D2676" s="5">
        <v>41549</v>
      </c>
      <c r="E2676" s="4" t="s">
        <v>1410</v>
      </c>
      <c r="F2676" s="4" t="s">
        <v>1411</v>
      </c>
    </row>
    <row r="2677" spans="1:6" x14ac:dyDescent="0.25">
      <c r="A2677" s="4" t="str">
        <f>CONCATENATE("3071-0000-3209","")</f>
        <v>3071-0000-3209</v>
      </c>
      <c r="B2677" s="4" t="s">
        <v>965</v>
      </c>
      <c r="C2677" s="5">
        <v>41489</v>
      </c>
      <c r="D2677" s="5">
        <v>41549</v>
      </c>
      <c r="E2677" s="4" t="s">
        <v>7</v>
      </c>
      <c r="F2677" s="4" t="s">
        <v>808</v>
      </c>
    </row>
    <row r="2678" spans="1:6" x14ac:dyDescent="0.25">
      <c r="A2678" s="4" t="str">
        <f>CONCATENATE("3071-0000-2952","")</f>
        <v>3071-0000-2952</v>
      </c>
      <c r="B2678" s="4" t="s">
        <v>1080</v>
      </c>
      <c r="C2678" s="5">
        <v>41489</v>
      </c>
      <c r="D2678" s="5">
        <v>41549</v>
      </c>
      <c r="E2678" s="4" t="s">
        <v>7</v>
      </c>
      <c r="F2678" s="4" t="s">
        <v>808</v>
      </c>
    </row>
    <row r="2679" spans="1:6" x14ac:dyDescent="0.25">
      <c r="A2679" s="4" t="str">
        <f>CONCATENATE("3071-0000-0301","")</f>
        <v>3071-0000-0301</v>
      </c>
      <c r="B2679" s="4" t="s">
        <v>225</v>
      </c>
      <c r="C2679" s="5">
        <v>41489</v>
      </c>
      <c r="D2679" s="5">
        <v>41549</v>
      </c>
      <c r="E2679" s="4" t="s">
        <v>7</v>
      </c>
      <c r="F2679" s="4" t="s">
        <v>7</v>
      </c>
    </row>
    <row r="2680" spans="1:6" x14ac:dyDescent="0.25">
      <c r="A2680" s="4" t="str">
        <f>CONCATENATE("3071-0000-1271","")</f>
        <v>3071-0000-1271</v>
      </c>
      <c r="B2680" s="4" t="s">
        <v>2369</v>
      </c>
      <c r="C2680" s="5">
        <v>41489</v>
      </c>
      <c r="D2680" s="5">
        <v>41549</v>
      </c>
      <c r="E2680" s="4" t="s">
        <v>1381</v>
      </c>
      <c r="F2680" s="4" t="s">
        <v>2303</v>
      </c>
    </row>
    <row r="2681" spans="1:6" x14ac:dyDescent="0.25">
      <c r="A2681" s="4" t="str">
        <f>CONCATENATE("3071-0000-1715","")</f>
        <v>3071-0000-1715</v>
      </c>
      <c r="B2681" s="4" t="s">
        <v>2385</v>
      </c>
      <c r="C2681" s="5">
        <v>41489</v>
      </c>
      <c r="D2681" s="5">
        <v>41549</v>
      </c>
      <c r="E2681" s="4" t="s">
        <v>1381</v>
      </c>
      <c r="F2681" s="4" t="s">
        <v>2319</v>
      </c>
    </row>
    <row r="2682" spans="1:6" x14ac:dyDescent="0.25">
      <c r="A2682" s="4" t="str">
        <f>CONCATENATE("3071-0000-1746","")</f>
        <v>3071-0000-1746</v>
      </c>
      <c r="B2682" s="4" t="s">
        <v>2724</v>
      </c>
      <c r="C2682" s="5">
        <v>41489</v>
      </c>
      <c r="D2682" s="5">
        <v>41549</v>
      </c>
      <c r="E2682" s="4" t="s">
        <v>1381</v>
      </c>
      <c r="F2682" s="4" t="s">
        <v>2662</v>
      </c>
    </row>
    <row r="2683" spans="1:6" x14ac:dyDescent="0.25">
      <c r="A2683" s="4" t="str">
        <f>CONCATENATE("3071-0000-1379","")</f>
        <v>3071-0000-1379</v>
      </c>
      <c r="B2683" s="4" t="s">
        <v>2554</v>
      </c>
      <c r="C2683" s="5">
        <v>41489</v>
      </c>
      <c r="D2683" s="5">
        <v>41549</v>
      </c>
      <c r="E2683" s="4" t="s">
        <v>1381</v>
      </c>
      <c r="F2683" s="4" t="s">
        <v>2303</v>
      </c>
    </row>
    <row r="2684" spans="1:6" x14ac:dyDescent="0.25">
      <c r="A2684" s="4" t="str">
        <f>CONCATENATE("3071-0000-1471","")</f>
        <v>3071-0000-1471</v>
      </c>
      <c r="B2684" s="4" t="s">
        <v>2918</v>
      </c>
      <c r="C2684" s="5">
        <v>41489</v>
      </c>
      <c r="D2684" s="5">
        <v>41549</v>
      </c>
      <c r="E2684" s="4" t="s">
        <v>1381</v>
      </c>
      <c r="F2684" s="4" t="s">
        <v>2303</v>
      </c>
    </row>
    <row r="2685" spans="1:6" x14ac:dyDescent="0.25">
      <c r="A2685" s="4" t="str">
        <f>CONCATENATE("3071-0000-4457","")</f>
        <v>3071-0000-4457</v>
      </c>
      <c r="B2685" s="4" t="s">
        <v>9340</v>
      </c>
      <c r="C2685" s="5">
        <v>41489</v>
      </c>
      <c r="D2685" s="5">
        <v>41549</v>
      </c>
      <c r="E2685" s="4" t="s">
        <v>1410</v>
      </c>
      <c r="F2685" s="4" t="s">
        <v>8696</v>
      </c>
    </row>
    <row r="2686" spans="1:6" x14ac:dyDescent="0.25">
      <c r="A2686" s="4" t="str">
        <f>CONCATENATE("3071-0000-5414","")</f>
        <v>3071-0000-5414</v>
      </c>
      <c r="B2686" s="4" t="s">
        <v>6869</v>
      </c>
      <c r="C2686" s="5">
        <v>41489</v>
      </c>
      <c r="D2686" s="5">
        <v>41549</v>
      </c>
      <c r="E2686" s="4" t="s">
        <v>5185</v>
      </c>
      <c r="F2686" s="4" t="s">
        <v>5185</v>
      </c>
    </row>
    <row r="2687" spans="1:6" x14ac:dyDescent="0.25">
      <c r="A2687" s="4" t="str">
        <f>CONCATENATE("3071-0000-7808","")</f>
        <v>3071-0000-7808</v>
      </c>
      <c r="B2687" s="4" t="s">
        <v>5476</v>
      </c>
      <c r="C2687" s="5">
        <v>41489</v>
      </c>
      <c r="D2687" s="5">
        <v>41549</v>
      </c>
      <c r="E2687" s="4" t="s">
        <v>5185</v>
      </c>
      <c r="F2687" s="4" t="s">
        <v>5185</v>
      </c>
    </row>
    <row r="2688" spans="1:6" x14ac:dyDescent="0.25">
      <c r="A2688" s="4" t="str">
        <f>CONCATENATE("3071-0000-8636","")</f>
        <v>3071-0000-8636</v>
      </c>
      <c r="B2688" s="4" t="s">
        <v>5621</v>
      </c>
      <c r="C2688" s="5">
        <v>41489</v>
      </c>
      <c r="D2688" s="5">
        <v>41549</v>
      </c>
      <c r="E2688" s="4" t="s">
        <v>5185</v>
      </c>
      <c r="F2688" s="4" t="s">
        <v>5250</v>
      </c>
    </row>
    <row r="2689" spans="1:6" x14ac:dyDescent="0.25">
      <c r="A2689" s="4" t="str">
        <f>CONCATENATE("3071-0000-3043","")</f>
        <v>3071-0000-3043</v>
      </c>
      <c r="B2689" s="4" t="s">
        <v>1036</v>
      </c>
      <c r="C2689" s="5">
        <v>41489</v>
      </c>
      <c r="D2689" s="5">
        <v>41549</v>
      </c>
      <c r="E2689" s="4" t="s">
        <v>7</v>
      </c>
      <c r="F2689" s="4" t="s">
        <v>808</v>
      </c>
    </row>
    <row r="2690" spans="1:6" x14ac:dyDescent="0.25">
      <c r="A2690" s="4" t="str">
        <f>CONCATENATE("3071-0000-2836","")</f>
        <v>3071-0000-2836</v>
      </c>
      <c r="B2690" s="4" t="s">
        <v>1103</v>
      </c>
      <c r="C2690" s="5">
        <v>41489</v>
      </c>
      <c r="D2690" s="5">
        <v>41549</v>
      </c>
      <c r="E2690" s="4" t="s">
        <v>7</v>
      </c>
      <c r="F2690" s="4" t="s">
        <v>808</v>
      </c>
    </row>
    <row r="2691" spans="1:6" x14ac:dyDescent="0.25">
      <c r="A2691" s="4" t="str">
        <f>CONCATENATE("3071-0000-3062","")</f>
        <v>3071-0000-3062</v>
      </c>
      <c r="B2691" s="4" t="s">
        <v>885</v>
      </c>
      <c r="C2691" s="5">
        <v>41489</v>
      </c>
      <c r="D2691" s="5">
        <v>41549</v>
      </c>
      <c r="E2691" s="4" t="s">
        <v>7</v>
      </c>
      <c r="F2691" s="4" t="s">
        <v>808</v>
      </c>
    </row>
    <row r="2692" spans="1:6" x14ac:dyDescent="0.25">
      <c r="A2692" s="4" t="str">
        <f>CONCATENATE("3071-0000-2750","")</f>
        <v>3071-0000-2750</v>
      </c>
      <c r="B2692" s="4" t="s">
        <v>825</v>
      </c>
      <c r="C2692" s="5">
        <v>41489</v>
      </c>
      <c r="D2692" s="5">
        <v>41549</v>
      </c>
      <c r="E2692" s="4" t="s">
        <v>7</v>
      </c>
      <c r="F2692" s="4" t="s">
        <v>808</v>
      </c>
    </row>
    <row r="2693" spans="1:6" x14ac:dyDescent="0.25">
      <c r="A2693" s="4" t="str">
        <f>CONCATENATE("3071-0000-3258","")</f>
        <v>3071-0000-3258</v>
      </c>
      <c r="B2693" s="4" t="s">
        <v>1104</v>
      </c>
      <c r="C2693" s="5">
        <v>41489</v>
      </c>
      <c r="D2693" s="5">
        <v>41549</v>
      </c>
      <c r="E2693" s="4" t="s">
        <v>7</v>
      </c>
      <c r="F2693" s="4" t="s">
        <v>808</v>
      </c>
    </row>
    <row r="2694" spans="1:6" x14ac:dyDescent="0.25">
      <c r="A2694" s="4" t="str">
        <f>CONCATENATE("3071-0000-3015","")</f>
        <v>3071-0000-3015</v>
      </c>
      <c r="B2694" s="4" t="s">
        <v>1239</v>
      </c>
      <c r="C2694" s="5">
        <v>41489</v>
      </c>
      <c r="D2694" s="5">
        <v>41549</v>
      </c>
      <c r="E2694" s="4" t="s">
        <v>7</v>
      </c>
      <c r="F2694" s="4" t="s">
        <v>808</v>
      </c>
    </row>
    <row r="2695" spans="1:6" x14ac:dyDescent="0.25">
      <c r="A2695" s="4" t="str">
        <f>CONCATENATE("3071-0000-1217","")</f>
        <v>3071-0000-1217</v>
      </c>
      <c r="B2695" s="4" t="s">
        <v>2292</v>
      </c>
      <c r="C2695" s="5">
        <v>41489</v>
      </c>
      <c r="D2695" s="5">
        <v>41549</v>
      </c>
      <c r="E2695" s="4" t="s">
        <v>1381</v>
      </c>
      <c r="F2695" s="4" t="s">
        <v>2259</v>
      </c>
    </row>
    <row r="2696" spans="1:6" x14ac:dyDescent="0.25">
      <c r="A2696" s="4" t="str">
        <f>CONCATENATE("3071-0000-2825","")</f>
        <v>3071-0000-2825</v>
      </c>
      <c r="B2696" s="4" t="s">
        <v>1071</v>
      </c>
      <c r="C2696" s="5">
        <v>41489</v>
      </c>
      <c r="D2696" s="5">
        <v>41549</v>
      </c>
      <c r="E2696" s="4" t="s">
        <v>7</v>
      </c>
      <c r="F2696" s="4" t="s">
        <v>808</v>
      </c>
    </row>
    <row r="2697" spans="1:6" x14ac:dyDescent="0.25">
      <c r="A2697" s="4" t="str">
        <f>CONCATENATE("3071-0000-1042","")</f>
        <v>3071-0000-1042</v>
      </c>
      <c r="B2697" s="4" t="s">
        <v>2277</v>
      </c>
      <c r="C2697" s="5">
        <v>41489</v>
      </c>
      <c r="D2697" s="5">
        <v>41549</v>
      </c>
      <c r="E2697" s="4" t="s">
        <v>1857</v>
      </c>
      <c r="F2697" s="4" t="s">
        <v>1857</v>
      </c>
    </row>
    <row r="2698" spans="1:6" x14ac:dyDescent="0.25">
      <c r="A2698" s="4" t="str">
        <f>CONCATENATE("3071-0000-0926","")</f>
        <v>3071-0000-0926</v>
      </c>
      <c r="B2698" s="4" t="s">
        <v>2089</v>
      </c>
      <c r="C2698" s="5">
        <v>41489</v>
      </c>
      <c r="D2698" s="5">
        <v>41549</v>
      </c>
      <c r="E2698" s="4" t="s">
        <v>1857</v>
      </c>
      <c r="F2698" s="4" t="s">
        <v>1857</v>
      </c>
    </row>
    <row r="2699" spans="1:6" x14ac:dyDescent="0.25">
      <c r="A2699" s="4" t="str">
        <f>CONCATENATE("3071-0000-8502","")</f>
        <v>3071-0000-8502</v>
      </c>
      <c r="B2699" s="4" t="s">
        <v>6142</v>
      </c>
      <c r="C2699" s="5">
        <v>41489</v>
      </c>
      <c r="D2699" s="5">
        <v>41549</v>
      </c>
      <c r="E2699" s="4" t="s">
        <v>5185</v>
      </c>
      <c r="F2699" s="4" t="s">
        <v>5945</v>
      </c>
    </row>
    <row r="2700" spans="1:6" x14ac:dyDescent="0.25">
      <c r="A2700" s="4" t="str">
        <f>CONCATENATE("3071-0000-4378","")</f>
        <v>3071-0000-4378</v>
      </c>
      <c r="B2700" s="4" t="s">
        <v>9225</v>
      </c>
      <c r="C2700" s="5">
        <v>41489</v>
      </c>
      <c r="D2700" s="5">
        <v>41549</v>
      </c>
      <c r="E2700" s="4" t="s">
        <v>1410</v>
      </c>
      <c r="F2700" s="4" t="s">
        <v>8696</v>
      </c>
    </row>
    <row r="2701" spans="1:6" x14ac:dyDescent="0.25">
      <c r="A2701" s="4" t="str">
        <f>CONCATENATE("3071-0000-8657","")</f>
        <v>3071-0000-8657</v>
      </c>
      <c r="B2701" s="4" t="s">
        <v>6415</v>
      </c>
      <c r="C2701" s="5">
        <v>41489</v>
      </c>
      <c r="D2701" s="5">
        <v>41549</v>
      </c>
      <c r="E2701" s="4" t="s">
        <v>5185</v>
      </c>
      <c r="F2701" s="4" t="s">
        <v>5292</v>
      </c>
    </row>
    <row r="2702" spans="1:6" x14ac:dyDescent="0.25">
      <c r="A2702" s="4" t="str">
        <f>CONCATENATE("3071-0000-4445","")</f>
        <v>3071-0000-4445</v>
      </c>
      <c r="B2702" s="4" t="s">
        <v>9322</v>
      </c>
      <c r="C2702" s="5">
        <v>41489</v>
      </c>
      <c r="D2702" s="5">
        <v>41549</v>
      </c>
      <c r="E2702" s="4" t="s">
        <v>1410</v>
      </c>
      <c r="F2702" s="4" t="s">
        <v>8696</v>
      </c>
    </row>
    <row r="2703" spans="1:6" x14ac:dyDescent="0.25">
      <c r="A2703" s="4" t="str">
        <f>CONCATENATE("3071-0000-8683","")</f>
        <v>3071-0000-8683</v>
      </c>
      <c r="B2703" s="4" t="s">
        <v>6390</v>
      </c>
      <c r="C2703" s="5">
        <v>41489</v>
      </c>
      <c r="D2703" s="5">
        <v>41549</v>
      </c>
      <c r="E2703" s="4" t="s">
        <v>5185</v>
      </c>
      <c r="F2703" s="4" t="s">
        <v>5292</v>
      </c>
    </row>
    <row r="2704" spans="1:6" x14ac:dyDescent="0.25">
      <c r="A2704" s="4" t="str">
        <f>CONCATENATE("3071-0000-8899","")</f>
        <v>3071-0000-8899</v>
      </c>
      <c r="B2704" s="4" t="s">
        <v>6445</v>
      </c>
      <c r="C2704" s="5">
        <v>41489</v>
      </c>
      <c r="D2704" s="5">
        <v>41549</v>
      </c>
      <c r="E2704" s="4" t="s">
        <v>5185</v>
      </c>
      <c r="F2704" s="4" t="s">
        <v>5292</v>
      </c>
    </row>
    <row r="2705" spans="1:6" x14ac:dyDescent="0.25">
      <c r="A2705" s="4" t="str">
        <f>CONCATENATE("3071-0000-2722","")</f>
        <v>3071-0000-2722</v>
      </c>
      <c r="B2705" s="4" t="s">
        <v>2971</v>
      </c>
      <c r="C2705" s="5">
        <v>41489</v>
      </c>
      <c r="D2705" s="5">
        <v>41549</v>
      </c>
      <c r="E2705" s="4" t="s">
        <v>2944</v>
      </c>
      <c r="F2705" s="4" t="s">
        <v>2949</v>
      </c>
    </row>
    <row r="2706" spans="1:6" x14ac:dyDescent="0.25">
      <c r="A2706" s="4" t="str">
        <f>CONCATENATE("3071-0000-2439","")</f>
        <v>3071-0000-2439</v>
      </c>
      <c r="B2706" s="4" t="s">
        <v>3006</v>
      </c>
      <c r="C2706" s="5">
        <v>41489</v>
      </c>
      <c r="D2706" s="5">
        <v>41549</v>
      </c>
      <c r="E2706" s="4" t="s">
        <v>2944</v>
      </c>
      <c r="F2706" s="4" t="s">
        <v>2949</v>
      </c>
    </row>
    <row r="2707" spans="1:6" x14ac:dyDescent="0.25">
      <c r="A2707" s="4" t="str">
        <f>CONCATENATE("3071-0000-6331","")</f>
        <v>3071-0000-6331</v>
      </c>
      <c r="B2707" s="4" t="s">
        <v>7408</v>
      </c>
      <c r="C2707" s="5">
        <v>41489</v>
      </c>
      <c r="D2707" s="5">
        <v>41549</v>
      </c>
      <c r="E2707" s="4" t="s">
        <v>1410</v>
      </c>
      <c r="F2707" s="4" t="s">
        <v>7309</v>
      </c>
    </row>
    <row r="2708" spans="1:6" x14ac:dyDescent="0.25">
      <c r="A2708" s="4" t="str">
        <f>CONCATENATE("3071-0000-5700","")</f>
        <v>3071-0000-5700</v>
      </c>
      <c r="B2708" s="4" t="s">
        <v>7429</v>
      </c>
      <c r="C2708" s="5">
        <v>41489</v>
      </c>
      <c r="D2708" s="5">
        <v>41549</v>
      </c>
      <c r="E2708" s="4" t="s">
        <v>5185</v>
      </c>
      <c r="F2708" s="4" t="s">
        <v>5185</v>
      </c>
    </row>
    <row r="2709" spans="1:6" x14ac:dyDescent="0.25">
      <c r="A2709" s="4" t="str">
        <f>CONCATENATE("3071-0000-6896","")</f>
        <v>3071-0000-6896</v>
      </c>
      <c r="B2709" s="4" t="s">
        <v>4489</v>
      </c>
      <c r="C2709" s="5">
        <v>41489</v>
      </c>
      <c r="D2709" s="5">
        <v>41549</v>
      </c>
      <c r="E2709" s="4" t="s">
        <v>1410</v>
      </c>
      <c r="F2709" s="4" t="s">
        <v>1410</v>
      </c>
    </row>
    <row r="2710" spans="1:6" x14ac:dyDescent="0.25">
      <c r="A2710" s="4" t="str">
        <f>CONCATENATE("3071-0000-5691","")</f>
        <v>3071-0000-5691</v>
      </c>
      <c r="B2710" s="4" t="s">
        <v>7416</v>
      </c>
      <c r="C2710" s="5">
        <v>41489</v>
      </c>
      <c r="D2710" s="5">
        <v>41549</v>
      </c>
      <c r="E2710" s="4" t="s">
        <v>5185</v>
      </c>
      <c r="F2710" s="4" t="s">
        <v>5185</v>
      </c>
    </row>
    <row r="2711" spans="1:6" x14ac:dyDescent="0.25">
      <c r="A2711" s="4" t="str">
        <f>CONCATENATE("3071-0000-5699","")</f>
        <v>3071-0000-5699</v>
      </c>
      <c r="B2711" s="4" t="s">
        <v>7431</v>
      </c>
      <c r="C2711" s="5">
        <v>41489</v>
      </c>
      <c r="D2711" s="5">
        <v>41549</v>
      </c>
      <c r="E2711" s="4" t="s">
        <v>5185</v>
      </c>
      <c r="F2711" s="4" t="s">
        <v>5185</v>
      </c>
    </row>
    <row r="2712" spans="1:6" x14ac:dyDescent="0.25">
      <c r="A2712" s="4" t="str">
        <f>CONCATENATE("3071-0000-5730","")</f>
        <v>3071-0000-5730</v>
      </c>
      <c r="B2712" s="4" t="s">
        <v>7445</v>
      </c>
      <c r="C2712" s="5">
        <v>41489</v>
      </c>
      <c r="D2712" s="5">
        <v>41549</v>
      </c>
      <c r="E2712" s="4" t="s">
        <v>5185</v>
      </c>
      <c r="F2712" s="4" t="s">
        <v>5185</v>
      </c>
    </row>
    <row r="2713" spans="1:6" x14ac:dyDescent="0.25">
      <c r="A2713" s="4" t="str">
        <f>CONCATENATE("3071-0000-1416","")</f>
        <v>3071-0000-1416</v>
      </c>
      <c r="B2713" s="4" t="s">
        <v>2640</v>
      </c>
      <c r="C2713" s="5">
        <v>41489</v>
      </c>
      <c r="D2713" s="5">
        <v>41549</v>
      </c>
      <c r="E2713" s="4" t="s">
        <v>1381</v>
      </c>
      <c r="F2713" s="4" t="s">
        <v>2303</v>
      </c>
    </row>
    <row r="2714" spans="1:6" x14ac:dyDescent="0.25">
      <c r="A2714" s="4" t="str">
        <f>CONCATENATE("3071-0000-1439","")</f>
        <v>3071-0000-1439</v>
      </c>
      <c r="B2714" s="4" t="s">
        <v>2669</v>
      </c>
      <c r="C2714" s="5">
        <v>41489</v>
      </c>
      <c r="D2714" s="5">
        <v>41549</v>
      </c>
      <c r="E2714" s="4" t="s">
        <v>1381</v>
      </c>
      <c r="F2714" s="4" t="s">
        <v>2303</v>
      </c>
    </row>
    <row r="2715" spans="1:6" x14ac:dyDescent="0.25">
      <c r="A2715" s="4" t="str">
        <f>CONCATENATE("3071-0000-1407","")</f>
        <v>3071-0000-1407</v>
      </c>
      <c r="B2715" s="4" t="s">
        <v>2629</v>
      </c>
      <c r="C2715" s="5">
        <v>41489</v>
      </c>
      <c r="D2715" s="5">
        <v>41549</v>
      </c>
      <c r="E2715" s="4" t="s">
        <v>1381</v>
      </c>
      <c r="F2715" s="4" t="s">
        <v>2303</v>
      </c>
    </row>
    <row r="2716" spans="1:6" x14ac:dyDescent="0.25">
      <c r="A2716" s="4" t="str">
        <f>CONCATENATE("3071-0000-1590","")</f>
        <v>3071-0000-1590</v>
      </c>
      <c r="B2716" s="4" t="s">
        <v>2907</v>
      </c>
      <c r="C2716" s="5">
        <v>41489</v>
      </c>
      <c r="D2716" s="5">
        <v>41549</v>
      </c>
      <c r="E2716" s="4" t="s">
        <v>1381</v>
      </c>
      <c r="F2716" s="4" t="s">
        <v>2303</v>
      </c>
    </row>
    <row r="2717" spans="1:6" x14ac:dyDescent="0.25">
      <c r="A2717" s="4" t="str">
        <f>CONCATENATE("3071-0000-1470","")</f>
        <v>3071-0000-1470</v>
      </c>
      <c r="B2717" s="4" t="s">
        <v>2916</v>
      </c>
      <c r="C2717" s="5">
        <v>41489</v>
      </c>
      <c r="D2717" s="5">
        <v>41549</v>
      </c>
      <c r="E2717" s="4" t="s">
        <v>1381</v>
      </c>
      <c r="F2717" s="4" t="s">
        <v>2303</v>
      </c>
    </row>
    <row r="2718" spans="1:6" x14ac:dyDescent="0.25">
      <c r="A2718" s="4" t="str">
        <f>CONCATENATE("3071-0000-1433","")</f>
        <v>3071-0000-1433</v>
      </c>
      <c r="B2718" s="4" t="s">
        <v>2663</v>
      </c>
      <c r="C2718" s="5">
        <v>41489</v>
      </c>
      <c r="D2718" s="5">
        <v>41549</v>
      </c>
      <c r="E2718" s="4" t="s">
        <v>1381</v>
      </c>
      <c r="F2718" s="4" t="s">
        <v>2303</v>
      </c>
    </row>
    <row r="2719" spans="1:6" x14ac:dyDescent="0.25">
      <c r="A2719" s="4" t="str">
        <f>CONCATENATE("3071-0000-1485","")</f>
        <v>3071-0000-1485</v>
      </c>
      <c r="B2719" s="4" t="s">
        <v>2942</v>
      </c>
      <c r="C2719" s="5">
        <v>41489</v>
      </c>
      <c r="D2719" s="5">
        <v>41549</v>
      </c>
      <c r="E2719" s="4" t="s">
        <v>1381</v>
      </c>
      <c r="F2719" s="4" t="s">
        <v>2303</v>
      </c>
    </row>
    <row r="2720" spans="1:6" x14ac:dyDescent="0.25">
      <c r="A2720" s="4" t="str">
        <f>CONCATENATE("3071-0000-1444","")</f>
        <v>3071-0000-1444</v>
      </c>
      <c r="B2720" s="4" t="s">
        <v>2680</v>
      </c>
      <c r="C2720" s="5">
        <v>41489</v>
      </c>
      <c r="D2720" s="5">
        <v>41549</v>
      </c>
      <c r="E2720" s="4" t="s">
        <v>1381</v>
      </c>
      <c r="F2720" s="4" t="s">
        <v>2303</v>
      </c>
    </row>
    <row r="2721" spans="1:6" x14ac:dyDescent="0.25">
      <c r="A2721" s="4" t="str">
        <f>CONCATENATE("3071-0000-8746","")</f>
        <v>3071-0000-8746</v>
      </c>
      <c r="B2721" s="4" t="s">
        <v>6569</v>
      </c>
      <c r="C2721" s="5">
        <v>41489</v>
      </c>
      <c r="D2721" s="5">
        <v>41549</v>
      </c>
      <c r="E2721" s="4" t="s">
        <v>5185</v>
      </c>
      <c r="F2721" s="4" t="s">
        <v>5292</v>
      </c>
    </row>
    <row r="2722" spans="1:6" x14ac:dyDescent="0.25">
      <c r="A2722" s="4" t="str">
        <f>CONCATENATE("3071-0000-8870","")</f>
        <v>3071-0000-8870</v>
      </c>
      <c r="B2722" s="4" t="s">
        <v>6578</v>
      </c>
      <c r="C2722" s="5">
        <v>41489</v>
      </c>
      <c r="D2722" s="5">
        <v>41549</v>
      </c>
      <c r="E2722" s="4" t="s">
        <v>5185</v>
      </c>
      <c r="F2722" s="4" t="s">
        <v>5292</v>
      </c>
    </row>
    <row r="2723" spans="1:6" x14ac:dyDescent="0.25">
      <c r="A2723" s="4" t="str">
        <f>CONCATENATE("3071-0000-8787","")</f>
        <v>3071-0000-8787</v>
      </c>
      <c r="B2723" s="4" t="s">
        <v>6590</v>
      </c>
      <c r="C2723" s="5">
        <v>41489</v>
      </c>
      <c r="D2723" s="5">
        <v>41549</v>
      </c>
      <c r="E2723" s="4" t="s">
        <v>5185</v>
      </c>
      <c r="F2723" s="4" t="s">
        <v>5292</v>
      </c>
    </row>
    <row r="2724" spans="1:6" x14ac:dyDescent="0.25">
      <c r="A2724" s="4" t="str">
        <f>CONCATENATE("3071-0000-8859","")</f>
        <v>3071-0000-8859</v>
      </c>
      <c r="B2724" s="4" t="s">
        <v>6573</v>
      </c>
      <c r="C2724" s="5">
        <v>41489</v>
      </c>
      <c r="D2724" s="5">
        <v>41549</v>
      </c>
      <c r="E2724" s="4" t="s">
        <v>5185</v>
      </c>
      <c r="F2724" s="4" t="s">
        <v>5292</v>
      </c>
    </row>
    <row r="2725" spans="1:6" x14ac:dyDescent="0.25">
      <c r="A2725" s="4" t="str">
        <f>CONCATENATE("3071-0000-9017","")</f>
        <v>3071-0000-9017</v>
      </c>
      <c r="B2725" s="4" t="s">
        <v>6498</v>
      </c>
      <c r="C2725" s="5">
        <v>41489</v>
      </c>
      <c r="D2725" s="5">
        <v>41549</v>
      </c>
      <c r="E2725" s="4" t="s">
        <v>5185</v>
      </c>
      <c r="F2725" s="4" t="s">
        <v>5292</v>
      </c>
    </row>
    <row r="2726" spans="1:6" x14ac:dyDescent="0.25">
      <c r="A2726" s="4" t="str">
        <f>CONCATENATE("3071-0000-2846","")</f>
        <v>3071-0000-2846</v>
      </c>
      <c r="B2726" s="4" t="s">
        <v>1165</v>
      </c>
      <c r="C2726" s="5">
        <v>41489</v>
      </c>
      <c r="D2726" s="5">
        <v>41549</v>
      </c>
      <c r="E2726" s="4" t="s">
        <v>7</v>
      </c>
      <c r="F2726" s="4" t="s">
        <v>808</v>
      </c>
    </row>
    <row r="2727" spans="1:6" x14ac:dyDescent="0.25">
      <c r="A2727" s="4" t="str">
        <f>CONCATENATE("3071-0000-2747","")</f>
        <v>3071-0000-2747</v>
      </c>
      <c r="B2727" s="4" t="s">
        <v>821</v>
      </c>
      <c r="C2727" s="5">
        <v>41489</v>
      </c>
      <c r="D2727" s="5">
        <v>41549</v>
      </c>
      <c r="E2727" s="4" t="s">
        <v>7</v>
      </c>
      <c r="F2727" s="4" t="s">
        <v>808</v>
      </c>
    </row>
    <row r="2728" spans="1:6" x14ac:dyDescent="0.25">
      <c r="A2728" s="4" t="str">
        <f>CONCATENATE("3071-0000-3077","")</f>
        <v>3071-0000-3077</v>
      </c>
      <c r="B2728" s="4" t="s">
        <v>820</v>
      </c>
      <c r="C2728" s="5">
        <v>41489</v>
      </c>
      <c r="D2728" s="5">
        <v>41549</v>
      </c>
      <c r="E2728" s="4" t="s">
        <v>7</v>
      </c>
      <c r="F2728" s="4" t="s">
        <v>808</v>
      </c>
    </row>
    <row r="2729" spans="1:6" x14ac:dyDescent="0.25">
      <c r="A2729" s="4" t="str">
        <f>CONCATENATE("3071-0000-2733","")</f>
        <v>3071-0000-2733</v>
      </c>
      <c r="B2729" s="4" t="s">
        <v>814</v>
      </c>
      <c r="C2729" s="5">
        <v>41489</v>
      </c>
      <c r="D2729" s="5">
        <v>41549</v>
      </c>
      <c r="E2729" s="4" t="s">
        <v>7</v>
      </c>
      <c r="F2729" s="4" t="s">
        <v>808</v>
      </c>
    </row>
    <row r="2730" spans="1:6" x14ac:dyDescent="0.25">
      <c r="A2730" s="4" t="str">
        <f>CONCATENATE("3071-0000-4648","")</f>
        <v>3071-0000-4648</v>
      </c>
      <c r="B2730" s="4" t="s">
        <v>9123</v>
      </c>
      <c r="C2730" s="5">
        <v>41489</v>
      </c>
      <c r="D2730" s="5">
        <v>41549</v>
      </c>
      <c r="E2730" s="4" t="s">
        <v>1410</v>
      </c>
      <c r="F2730" s="4" t="s">
        <v>8696</v>
      </c>
    </row>
    <row r="2731" spans="1:6" x14ac:dyDescent="0.25">
      <c r="A2731" s="4" t="str">
        <f>CONCATENATE("3071-0000-0324","")</f>
        <v>3071-0000-0324</v>
      </c>
      <c r="B2731" s="4" t="s">
        <v>80</v>
      </c>
      <c r="C2731" s="5">
        <v>41489</v>
      </c>
      <c r="D2731" s="5">
        <v>41549</v>
      </c>
      <c r="E2731" s="4" t="s">
        <v>7</v>
      </c>
      <c r="F2731" s="4" t="s">
        <v>7</v>
      </c>
    </row>
    <row r="2732" spans="1:6" x14ac:dyDescent="0.25">
      <c r="A2732" s="4" t="str">
        <f>CONCATENATE("3071-0000-4550","")</f>
        <v>3071-0000-4550</v>
      </c>
      <c r="B2732" s="4" t="s">
        <v>9076</v>
      </c>
      <c r="C2732" s="5">
        <v>41489</v>
      </c>
      <c r="D2732" s="5">
        <v>41549</v>
      </c>
      <c r="E2732" s="4" t="s">
        <v>1410</v>
      </c>
      <c r="F2732" s="4" t="s">
        <v>8696</v>
      </c>
    </row>
    <row r="2733" spans="1:6" x14ac:dyDescent="0.25">
      <c r="A2733" s="4" t="str">
        <f>CONCATENATE("3071-0000-8660","")</f>
        <v>3071-0000-8660</v>
      </c>
      <c r="B2733" s="4" t="s">
        <v>6446</v>
      </c>
      <c r="C2733" s="5">
        <v>41489</v>
      </c>
      <c r="D2733" s="5">
        <v>41549</v>
      </c>
      <c r="E2733" s="4" t="s">
        <v>5185</v>
      </c>
      <c r="F2733" s="4" t="s">
        <v>5292</v>
      </c>
    </row>
    <row r="2734" spans="1:6" x14ac:dyDescent="0.25">
      <c r="A2734" s="4" t="str">
        <f>CONCATENATE("3071-0000-9142","")</f>
        <v>3071-0000-9142</v>
      </c>
      <c r="B2734" s="4" t="s">
        <v>6600</v>
      </c>
      <c r="C2734" s="5">
        <v>41489</v>
      </c>
      <c r="D2734" s="5">
        <v>41549</v>
      </c>
      <c r="E2734" s="4" t="s">
        <v>5185</v>
      </c>
      <c r="F2734" s="4" t="s">
        <v>5292</v>
      </c>
    </row>
    <row r="2735" spans="1:6" x14ac:dyDescent="0.25">
      <c r="A2735" s="4" t="str">
        <f>CONCATENATE("3071-0000-4544","")</f>
        <v>3071-0000-4544</v>
      </c>
      <c r="B2735" s="4" t="s">
        <v>9070</v>
      </c>
      <c r="C2735" s="5">
        <v>41489</v>
      </c>
      <c r="D2735" s="5">
        <v>41549</v>
      </c>
      <c r="E2735" s="4" t="s">
        <v>1410</v>
      </c>
      <c r="F2735" s="4" t="s">
        <v>8696</v>
      </c>
    </row>
    <row r="2736" spans="1:6" x14ac:dyDescent="0.25">
      <c r="A2736" s="4" t="str">
        <f>CONCATENATE("3071-0000-8245","")</f>
        <v>3071-0000-8245</v>
      </c>
      <c r="B2736" s="4" t="s">
        <v>6000</v>
      </c>
      <c r="C2736" s="5">
        <v>41489</v>
      </c>
      <c r="D2736" s="5">
        <v>41549</v>
      </c>
      <c r="E2736" s="4" t="s">
        <v>5185</v>
      </c>
      <c r="F2736" s="4" t="s">
        <v>5185</v>
      </c>
    </row>
    <row r="2737" spans="1:6" x14ac:dyDescent="0.25">
      <c r="A2737" s="4" t="str">
        <f>CONCATENATE("3071-0000-9196","")</f>
        <v>3071-0000-9196</v>
      </c>
      <c r="B2737" s="4" t="s">
        <v>6085</v>
      </c>
      <c r="C2737" s="5">
        <v>41489</v>
      </c>
      <c r="D2737" s="5">
        <v>41549</v>
      </c>
      <c r="E2737" s="4" t="s">
        <v>5185</v>
      </c>
      <c r="F2737" s="4" t="s">
        <v>5945</v>
      </c>
    </row>
    <row r="2738" spans="1:6" x14ac:dyDescent="0.25">
      <c r="A2738" s="4" t="str">
        <f>CONCATENATE("3071-0000-8113","")</f>
        <v>3071-0000-8113</v>
      </c>
      <c r="B2738" s="4" t="s">
        <v>6003</v>
      </c>
      <c r="C2738" s="5">
        <v>41489</v>
      </c>
      <c r="D2738" s="5">
        <v>41549</v>
      </c>
      <c r="E2738" s="4" t="s">
        <v>5185</v>
      </c>
      <c r="F2738" s="4" t="s">
        <v>5185</v>
      </c>
    </row>
    <row r="2739" spans="1:6" x14ac:dyDescent="0.25">
      <c r="A2739" s="4" t="str">
        <f>CONCATENATE("3071-0000-9074","")</f>
        <v>3071-0000-9074</v>
      </c>
      <c r="B2739" s="4" t="s">
        <v>5958</v>
      </c>
      <c r="C2739" s="5">
        <v>41489</v>
      </c>
      <c r="D2739" s="5">
        <v>41549</v>
      </c>
      <c r="E2739" s="4" t="s">
        <v>5185</v>
      </c>
      <c r="F2739" s="4" t="s">
        <v>5945</v>
      </c>
    </row>
    <row r="2740" spans="1:6" x14ac:dyDescent="0.25">
      <c r="A2740" s="4" t="str">
        <f>CONCATENATE("3071-0000-9021","")</f>
        <v>3071-0000-9021</v>
      </c>
      <c r="B2740" s="4" t="s">
        <v>6508</v>
      </c>
      <c r="C2740" s="5">
        <v>41489</v>
      </c>
      <c r="D2740" s="5">
        <v>41549</v>
      </c>
      <c r="E2740" s="4" t="s">
        <v>5185</v>
      </c>
      <c r="F2740" s="4" t="s">
        <v>5292</v>
      </c>
    </row>
    <row r="2741" spans="1:6" x14ac:dyDescent="0.25">
      <c r="A2741" s="4" t="str">
        <f>CONCATENATE("3071-0000-8127","")</f>
        <v>3071-0000-8127</v>
      </c>
      <c r="B2741" s="4" t="s">
        <v>5990</v>
      </c>
      <c r="C2741" s="5">
        <v>41489</v>
      </c>
      <c r="D2741" s="5">
        <v>41549</v>
      </c>
      <c r="E2741" s="4" t="s">
        <v>5185</v>
      </c>
      <c r="F2741" s="4" t="s">
        <v>5185</v>
      </c>
    </row>
    <row r="2742" spans="1:6" x14ac:dyDescent="0.25">
      <c r="A2742" s="4" t="str">
        <f>CONCATENATE("3071-0000-8495","")</f>
        <v>3071-0000-8495</v>
      </c>
      <c r="B2742" s="4" t="s">
        <v>6146</v>
      </c>
      <c r="C2742" s="5">
        <v>41489</v>
      </c>
      <c r="D2742" s="5">
        <v>41549</v>
      </c>
      <c r="E2742" s="4" t="s">
        <v>5185</v>
      </c>
      <c r="F2742" s="4" t="s">
        <v>5945</v>
      </c>
    </row>
    <row r="2743" spans="1:6" x14ac:dyDescent="0.25">
      <c r="A2743" s="4" t="str">
        <f>CONCATENATE("3071-0000-6948","")</f>
        <v>3071-0000-6948</v>
      </c>
      <c r="B2743" s="4" t="s">
        <v>4502</v>
      </c>
      <c r="C2743" s="5">
        <v>41489</v>
      </c>
      <c r="D2743" s="5">
        <v>41549</v>
      </c>
      <c r="E2743" s="4" t="s">
        <v>1410</v>
      </c>
      <c r="F2743" s="4" t="s">
        <v>1410</v>
      </c>
    </row>
    <row r="2744" spans="1:6" x14ac:dyDescent="0.25">
      <c r="A2744" s="4" t="str">
        <f>CONCATENATE("3071-0000-7604","")</f>
        <v>3071-0000-7604</v>
      </c>
      <c r="B2744" s="4" t="s">
        <v>4338</v>
      </c>
      <c r="C2744" s="5">
        <v>41489</v>
      </c>
      <c r="D2744" s="5">
        <v>41549</v>
      </c>
      <c r="E2744" s="4" t="s">
        <v>1410</v>
      </c>
      <c r="F2744" s="4" t="s">
        <v>1410</v>
      </c>
    </row>
    <row r="2745" spans="1:6" x14ac:dyDescent="0.25">
      <c r="A2745" s="4" t="str">
        <f>CONCATENATE("3071-0000-8063","")</f>
        <v>3071-0000-8063</v>
      </c>
      <c r="B2745" s="4" t="s">
        <v>5896</v>
      </c>
      <c r="C2745" s="5">
        <v>41489</v>
      </c>
      <c r="D2745" s="5">
        <v>41549</v>
      </c>
      <c r="E2745" s="4" t="s">
        <v>5185</v>
      </c>
      <c r="F2745" s="4" t="s">
        <v>5185</v>
      </c>
    </row>
    <row r="2746" spans="1:6" x14ac:dyDescent="0.25">
      <c r="A2746" s="4" t="str">
        <f>CONCATENATE("3071-0000-9099","")</f>
        <v>3071-0000-9099</v>
      </c>
      <c r="B2746" s="4" t="s">
        <v>5263</v>
      </c>
      <c r="C2746" s="5">
        <v>41489</v>
      </c>
      <c r="D2746" s="5">
        <v>41549</v>
      </c>
      <c r="E2746" s="4" t="s">
        <v>5185</v>
      </c>
      <c r="F2746" s="4" t="s">
        <v>5185</v>
      </c>
    </row>
    <row r="2747" spans="1:6" x14ac:dyDescent="0.25">
      <c r="A2747" s="4" t="str">
        <f>CONCATENATE("3071-0000-6776","")</f>
        <v>3071-0000-6776</v>
      </c>
      <c r="B2747" s="4" t="s">
        <v>8241</v>
      </c>
      <c r="C2747" s="5">
        <v>41489</v>
      </c>
      <c r="D2747" s="5">
        <v>41549</v>
      </c>
      <c r="E2747" s="4" t="s">
        <v>1410</v>
      </c>
      <c r="F2747" s="4" t="s">
        <v>8192</v>
      </c>
    </row>
    <row r="2748" spans="1:6" x14ac:dyDescent="0.25">
      <c r="A2748" s="4" t="str">
        <f>CONCATENATE("3071-0000-9153","")</f>
        <v>3071-0000-9153</v>
      </c>
      <c r="B2748" s="4" t="s">
        <v>5659</v>
      </c>
      <c r="C2748" s="5">
        <v>41489</v>
      </c>
      <c r="D2748" s="5">
        <v>41549</v>
      </c>
      <c r="E2748" s="4" t="s">
        <v>5185</v>
      </c>
      <c r="F2748" s="4" t="s">
        <v>5250</v>
      </c>
    </row>
    <row r="2749" spans="1:6" x14ac:dyDescent="0.25">
      <c r="A2749" s="4" t="str">
        <f>CONCATENATE("3071-0000-8309","")</f>
        <v>3071-0000-8309</v>
      </c>
      <c r="B2749" s="4" t="s">
        <v>5532</v>
      </c>
      <c r="C2749" s="5">
        <v>41489</v>
      </c>
      <c r="D2749" s="5">
        <v>41549</v>
      </c>
      <c r="E2749" s="4" t="s">
        <v>5185</v>
      </c>
      <c r="F2749" s="4" t="s">
        <v>5185</v>
      </c>
    </row>
    <row r="2750" spans="1:6" x14ac:dyDescent="0.25">
      <c r="A2750" s="4" t="str">
        <f>CONCATENATE("3071-0000-8292","")</f>
        <v>3071-0000-8292</v>
      </c>
      <c r="B2750" s="4" t="s">
        <v>6232</v>
      </c>
      <c r="C2750" s="5">
        <v>41489</v>
      </c>
      <c r="D2750" s="5">
        <v>41549</v>
      </c>
      <c r="E2750" s="4" t="s">
        <v>5185</v>
      </c>
      <c r="F2750" s="4" t="s">
        <v>5185</v>
      </c>
    </row>
    <row r="2751" spans="1:6" x14ac:dyDescent="0.25">
      <c r="A2751" s="4" t="str">
        <f>CONCATENATE("3071-0000-8530","")</f>
        <v>3071-0000-8530</v>
      </c>
      <c r="B2751" s="4" t="s">
        <v>5291</v>
      </c>
      <c r="C2751" s="5">
        <v>41489</v>
      </c>
      <c r="D2751" s="5">
        <v>41549</v>
      </c>
      <c r="E2751" s="4" t="s">
        <v>5185</v>
      </c>
      <c r="F2751" s="4" t="s">
        <v>5292</v>
      </c>
    </row>
    <row r="2752" spans="1:6" x14ac:dyDescent="0.25">
      <c r="A2752" s="4" t="str">
        <f>CONCATENATE("3071-0000-3741","")</f>
        <v>3071-0000-3741</v>
      </c>
      <c r="B2752" s="4" t="s">
        <v>1671</v>
      </c>
      <c r="C2752" s="5">
        <v>41489</v>
      </c>
      <c r="D2752" s="5">
        <v>41549</v>
      </c>
      <c r="E2752" s="4" t="s">
        <v>1410</v>
      </c>
      <c r="F2752" s="4" t="s">
        <v>1601</v>
      </c>
    </row>
    <row r="2753" spans="1:6" x14ac:dyDescent="0.25">
      <c r="A2753" s="4" t="str">
        <f>CONCATENATE("3071-0000-7818","")</f>
        <v>3071-0000-7818</v>
      </c>
      <c r="B2753" s="4" t="s">
        <v>5524</v>
      </c>
      <c r="C2753" s="5">
        <v>41489</v>
      </c>
      <c r="D2753" s="5">
        <v>41549</v>
      </c>
      <c r="E2753" s="4" t="s">
        <v>5185</v>
      </c>
      <c r="F2753" s="4" t="s">
        <v>5185</v>
      </c>
    </row>
    <row r="2754" spans="1:6" x14ac:dyDescent="0.25">
      <c r="A2754" s="4" t="str">
        <f>CONCATENATE("3071-0000-6999","")</f>
        <v>3071-0000-6999</v>
      </c>
      <c r="B2754" s="4" t="s">
        <v>4355</v>
      </c>
      <c r="C2754" s="5">
        <v>41489</v>
      </c>
      <c r="D2754" s="5">
        <v>41549</v>
      </c>
      <c r="E2754" s="4" t="s">
        <v>1410</v>
      </c>
      <c r="F2754" s="4" t="s">
        <v>1410</v>
      </c>
    </row>
    <row r="2755" spans="1:6" x14ac:dyDescent="0.25">
      <c r="A2755" s="4" t="str">
        <f>CONCATENATE("3071-0000-9512","")</f>
        <v>3071-0000-9512</v>
      </c>
      <c r="B2755" s="4" t="s">
        <v>8399</v>
      </c>
      <c r="C2755" s="5">
        <v>41489</v>
      </c>
      <c r="D2755" s="5">
        <v>41549</v>
      </c>
      <c r="E2755" s="4" t="s">
        <v>1410</v>
      </c>
      <c r="F2755" s="4" t="s">
        <v>4459</v>
      </c>
    </row>
    <row r="2756" spans="1:6" x14ac:dyDescent="0.25">
      <c r="A2756" s="4" t="str">
        <f>CONCATENATE("3071-0000-5007","")</f>
        <v>3071-0000-5007</v>
      </c>
      <c r="B2756" s="4" t="s">
        <v>9553</v>
      </c>
      <c r="C2756" s="5">
        <v>41489</v>
      </c>
      <c r="D2756" s="5">
        <v>41549</v>
      </c>
      <c r="E2756" s="4" t="s">
        <v>7069</v>
      </c>
      <c r="F2756" s="4" t="s">
        <v>9554</v>
      </c>
    </row>
    <row r="2757" spans="1:6" x14ac:dyDescent="0.25">
      <c r="A2757" s="4" t="str">
        <f>CONCATENATE("3071-0000-5835","")</f>
        <v>3071-0000-5835</v>
      </c>
      <c r="B2757" s="4" t="s">
        <v>7330</v>
      </c>
      <c r="C2757" s="5">
        <v>41489</v>
      </c>
      <c r="D2757" s="5">
        <v>41549</v>
      </c>
      <c r="E2757" s="4" t="s">
        <v>5185</v>
      </c>
      <c r="F2757" s="4" t="s">
        <v>5185</v>
      </c>
    </row>
    <row r="2758" spans="1:6" x14ac:dyDescent="0.25">
      <c r="A2758" s="4" t="str">
        <f>CONCATENATE("3071-0000-8261","")</f>
        <v>3071-0000-8261</v>
      </c>
      <c r="B2758" s="4" t="s">
        <v>5394</v>
      </c>
      <c r="C2758" s="5">
        <v>41489</v>
      </c>
      <c r="D2758" s="5">
        <v>41549</v>
      </c>
      <c r="E2758" s="4" t="s">
        <v>5185</v>
      </c>
      <c r="F2758" s="4" t="s">
        <v>5185</v>
      </c>
    </row>
    <row r="2759" spans="1:6" x14ac:dyDescent="0.25">
      <c r="A2759" s="4" t="str">
        <f>CONCATENATE("3071-0000-8262","")</f>
        <v>3071-0000-8262</v>
      </c>
      <c r="B2759" s="4" t="s">
        <v>5396</v>
      </c>
      <c r="C2759" s="5">
        <v>41489</v>
      </c>
      <c r="D2759" s="5">
        <v>41549</v>
      </c>
      <c r="E2759" s="4" t="s">
        <v>5185</v>
      </c>
      <c r="F2759" s="4" t="s">
        <v>5185</v>
      </c>
    </row>
    <row r="2760" spans="1:6" x14ac:dyDescent="0.25">
      <c r="A2760" s="4" t="str">
        <f>CONCATENATE("3071-0000-9505","")</f>
        <v>3071-0000-9505</v>
      </c>
      <c r="B2760" s="4" t="s">
        <v>8586</v>
      </c>
      <c r="C2760" s="5">
        <v>41489</v>
      </c>
      <c r="D2760" s="5">
        <v>41549</v>
      </c>
      <c r="E2760" s="4" t="s">
        <v>1410</v>
      </c>
      <c r="F2760" s="4" t="s">
        <v>4459</v>
      </c>
    </row>
    <row r="2761" spans="1:6" x14ac:dyDescent="0.25">
      <c r="A2761" s="4" t="str">
        <f>CONCATENATE("3071-0000-8209","")</f>
        <v>3071-0000-8209</v>
      </c>
      <c r="B2761" s="4" t="s">
        <v>5521</v>
      </c>
      <c r="C2761" s="5">
        <v>41489</v>
      </c>
      <c r="D2761" s="5">
        <v>41549</v>
      </c>
      <c r="E2761" s="4" t="s">
        <v>5185</v>
      </c>
      <c r="F2761" s="4" t="s">
        <v>5185</v>
      </c>
    </row>
    <row r="2762" spans="1:6" x14ac:dyDescent="0.25">
      <c r="A2762" s="4" t="str">
        <f>CONCATENATE("3071-0000-7473","")</f>
        <v>3071-0000-7473</v>
      </c>
      <c r="B2762" s="4" t="s">
        <v>4329</v>
      </c>
      <c r="C2762" s="5">
        <v>41489</v>
      </c>
      <c r="D2762" s="5">
        <v>41549</v>
      </c>
      <c r="E2762" s="4" t="s">
        <v>1410</v>
      </c>
      <c r="F2762" s="4" t="s">
        <v>1410</v>
      </c>
    </row>
    <row r="2763" spans="1:6" x14ac:dyDescent="0.25">
      <c r="A2763" s="4" t="str">
        <f>CONCATENATE("3071-0000-5440","")</f>
        <v>3071-0000-5440</v>
      </c>
      <c r="B2763" s="4" t="s">
        <v>6903</v>
      </c>
      <c r="C2763" s="5">
        <v>41489</v>
      </c>
      <c r="D2763" s="5">
        <v>41549</v>
      </c>
      <c r="E2763" s="4" t="s">
        <v>5185</v>
      </c>
      <c r="F2763" s="4" t="s">
        <v>5185</v>
      </c>
    </row>
    <row r="2764" spans="1:6" x14ac:dyDescent="0.25">
      <c r="A2764" s="4" t="str">
        <f>CONCATENATE("3071-0000-2874","")</f>
        <v>3071-0000-2874</v>
      </c>
      <c r="B2764" s="4" t="s">
        <v>1360</v>
      </c>
      <c r="C2764" s="5">
        <v>41489</v>
      </c>
      <c r="D2764" s="5">
        <v>41549</v>
      </c>
      <c r="E2764" s="4" t="s">
        <v>7</v>
      </c>
      <c r="F2764" s="4" t="s">
        <v>808</v>
      </c>
    </row>
    <row r="2765" spans="1:6" x14ac:dyDescent="0.25">
      <c r="A2765" s="4" t="str">
        <f>CONCATENATE("3071-0000-6174","")</f>
        <v>3071-0000-6174</v>
      </c>
      <c r="B2765" s="4" t="s">
        <v>7685</v>
      </c>
      <c r="C2765" s="5">
        <v>41489</v>
      </c>
      <c r="D2765" s="5">
        <v>41549</v>
      </c>
      <c r="E2765" s="4" t="s">
        <v>1410</v>
      </c>
      <c r="F2765" s="4" t="s">
        <v>1410</v>
      </c>
    </row>
    <row r="2766" spans="1:6" x14ac:dyDescent="0.25">
      <c r="A2766" s="4" t="str">
        <f>CONCATENATE("3071-0000-9035","")</f>
        <v>3071-0000-9035</v>
      </c>
      <c r="B2766" s="4" t="s">
        <v>5417</v>
      </c>
      <c r="C2766" s="5">
        <v>41489</v>
      </c>
      <c r="D2766" s="5">
        <v>41549</v>
      </c>
      <c r="E2766" s="4" t="s">
        <v>1410</v>
      </c>
      <c r="F2766" s="4" t="s">
        <v>4616</v>
      </c>
    </row>
    <row r="2767" spans="1:6" x14ac:dyDescent="0.25">
      <c r="A2767" s="4" t="str">
        <f>CONCATENATE("3071-0000-5686","")</f>
        <v>3071-0000-5686</v>
      </c>
      <c r="B2767" s="4" t="s">
        <v>7483</v>
      </c>
      <c r="C2767" s="5">
        <v>41489</v>
      </c>
      <c r="D2767" s="5">
        <v>41549</v>
      </c>
      <c r="E2767" s="4" t="s">
        <v>5185</v>
      </c>
      <c r="F2767" s="4" t="s">
        <v>5185</v>
      </c>
    </row>
    <row r="2768" spans="1:6" x14ac:dyDescent="0.25">
      <c r="A2768" s="4" t="str">
        <f>CONCATENATE("3071-0000-1795","")</f>
        <v>3071-0000-1795</v>
      </c>
      <c r="B2768" s="4" t="s">
        <v>2812</v>
      </c>
      <c r="C2768" s="5">
        <v>41489</v>
      </c>
      <c r="D2768" s="5">
        <v>41549</v>
      </c>
      <c r="E2768" s="4" t="s">
        <v>1381</v>
      </c>
      <c r="F2768" s="4" t="s">
        <v>2533</v>
      </c>
    </row>
    <row r="2769" spans="1:6" x14ac:dyDescent="0.25">
      <c r="A2769" s="4" t="str">
        <f>CONCATENATE("3071-0000-7755","")</f>
        <v>3071-0000-7755</v>
      </c>
      <c r="B2769" s="4" t="s">
        <v>4601</v>
      </c>
      <c r="C2769" s="5">
        <v>41489</v>
      </c>
      <c r="D2769" s="5">
        <v>41549</v>
      </c>
      <c r="E2769" s="4" t="s">
        <v>1410</v>
      </c>
      <c r="F2769" s="4" t="s">
        <v>1410</v>
      </c>
    </row>
    <row r="2770" spans="1:6" x14ac:dyDescent="0.25">
      <c r="A2770" s="4" t="str">
        <f>CONCATENATE("3071-0000-0491","")</f>
        <v>3071-0000-0491</v>
      </c>
      <c r="B2770" s="4" t="s">
        <v>522</v>
      </c>
      <c r="C2770" s="5">
        <v>41489</v>
      </c>
      <c r="D2770" s="5">
        <v>41549</v>
      </c>
      <c r="E2770" s="4" t="s">
        <v>7</v>
      </c>
      <c r="F2770" s="4" t="s">
        <v>7</v>
      </c>
    </row>
    <row r="2771" spans="1:6" x14ac:dyDescent="0.25">
      <c r="A2771" s="4" t="str">
        <f>CONCATENATE("3071-0000-0478","")</f>
        <v>3071-0000-0478</v>
      </c>
      <c r="B2771" s="4" t="s">
        <v>71</v>
      </c>
      <c r="C2771" s="5">
        <v>41489</v>
      </c>
      <c r="D2771" s="5">
        <v>41549</v>
      </c>
      <c r="E2771" s="4" t="s">
        <v>7</v>
      </c>
      <c r="F2771" s="4" t="s">
        <v>7</v>
      </c>
    </row>
    <row r="2772" spans="1:6" x14ac:dyDescent="0.25">
      <c r="A2772" s="4" t="str">
        <f>CONCATENATE("3071-0000-0077","")</f>
        <v>3071-0000-0077</v>
      </c>
      <c r="B2772" s="4" t="s">
        <v>143</v>
      </c>
      <c r="C2772" s="5">
        <v>41489</v>
      </c>
      <c r="D2772" s="5">
        <v>41549</v>
      </c>
      <c r="E2772" s="4" t="s">
        <v>7</v>
      </c>
      <c r="F2772" s="4" t="s">
        <v>7</v>
      </c>
    </row>
    <row r="2773" spans="1:6" x14ac:dyDescent="0.25">
      <c r="A2773" s="4" t="str">
        <f>CONCATENATE("3071-0000-3821","")</f>
        <v>3071-0000-3821</v>
      </c>
      <c r="B2773" s="4" t="s">
        <v>3870</v>
      </c>
      <c r="C2773" s="5">
        <v>41489</v>
      </c>
      <c r="D2773" s="5">
        <v>41549</v>
      </c>
      <c r="E2773" s="4" t="s">
        <v>2944</v>
      </c>
      <c r="F2773" s="4" t="s">
        <v>3513</v>
      </c>
    </row>
    <row r="2774" spans="1:6" x14ac:dyDescent="0.25">
      <c r="A2774" s="4" t="str">
        <f>CONCATENATE("3071-0000-6944","")</f>
        <v>3071-0000-6944</v>
      </c>
      <c r="B2774" s="4" t="s">
        <v>4556</v>
      </c>
      <c r="C2774" s="5">
        <v>41489</v>
      </c>
      <c r="D2774" s="5">
        <v>41549</v>
      </c>
      <c r="E2774" s="4" t="s">
        <v>1410</v>
      </c>
      <c r="F2774" s="4" t="s">
        <v>1410</v>
      </c>
    </row>
    <row r="2775" spans="1:6" x14ac:dyDescent="0.25">
      <c r="A2775" s="4" t="str">
        <f>CONCATENATE("3071-0000-2755","")</f>
        <v>3071-0000-2755</v>
      </c>
      <c r="B2775" s="4" t="s">
        <v>826</v>
      </c>
      <c r="C2775" s="5">
        <v>41489</v>
      </c>
      <c r="D2775" s="5">
        <v>41549</v>
      </c>
      <c r="E2775" s="4" t="s">
        <v>7</v>
      </c>
      <c r="F2775" s="4" t="s">
        <v>808</v>
      </c>
    </row>
    <row r="2776" spans="1:6" x14ac:dyDescent="0.25">
      <c r="A2776" s="4" t="str">
        <f>CONCATENATE("3071-0000-0798","")</f>
        <v>3071-0000-0798</v>
      </c>
      <c r="B2776" s="4" t="s">
        <v>767</v>
      </c>
      <c r="C2776" s="5">
        <v>41489</v>
      </c>
      <c r="D2776" s="5">
        <v>41549</v>
      </c>
      <c r="E2776" s="4" t="s">
        <v>7</v>
      </c>
      <c r="F2776" s="4" t="s">
        <v>7</v>
      </c>
    </row>
    <row r="2777" spans="1:6" x14ac:dyDescent="0.25">
      <c r="A2777" s="4" t="str">
        <f>CONCATENATE("3071-0000-0395","")</f>
        <v>3071-0000-0395</v>
      </c>
      <c r="B2777" s="4" t="s">
        <v>61</v>
      </c>
      <c r="C2777" s="5">
        <v>41489</v>
      </c>
      <c r="D2777" s="5">
        <v>41549</v>
      </c>
      <c r="E2777" s="4" t="s">
        <v>7</v>
      </c>
      <c r="F2777" s="4" t="s">
        <v>7</v>
      </c>
    </row>
    <row r="2778" spans="1:6" x14ac:dyDescent="0.25">
      <c r="A2778" s="4" t="str">
        <f>CONCATENATE("3071-0000-7631","")</f>
        <v>3071-0000-7631</v>
      </c>
      <c r="B2778" s="4" t="s">
        <v>5154</v>
      </c>
      <c r="C2778" s="5">
        <v>41489</v>
      </c>
      <c r="D2778" s="5">
        <v>41549</v>
      </c>
      <c r="E2778" s="4" t="s">
        <v>1410</v>
      </c>
      <c r="F2778" s="4" t="s">
        <v>4616</v>
      </c>
    </row>
    <row r="2779" spans="1:6" x14ac:dyDescent="0.25">
      <c r="A2779" s="4" t="str">
        <f>CONCATENATE("3071-0000-2331","")</f>
        <v>3071-0000-2331</v>
      </c>
      <c r="B2779" s="4" t="s">
        <v>3160</v>
      </c>
      <c r="C2779" s="5">
        <v>41489</v>
      </c>
      <c r="D2779" s="5">
        <v>41549</v>
      </c>
      <c r="E2779" s="4" t="s">
        <v>2944</v>
      </c>
      <c r="F2779" s="4" t="s">
        <v>2945</v>
      </c>
    </row>
    <row r="2780" spans="1:6" x14ac:dyDescent="0.25">
      <c r="A2780" s="4" t="str">
        <f>CONCATENATE("3071-0000-4165","")</f>
        <v>3071-0000-4165</v>
      </c>
      <c r="B2780" s="4" t="s">
        <v>3882</v>
      </c>
      <c r="C2780" s="5">
        <v>41489</v>
      </c>
      <c r="D2780" s="5">
        <v>41549</v>
      </c>
      <c r="E2780" s="4" t="s">
        <v>7</v>
      </c>
      <c r="F2780" s="4" t="s">
        <v>3818</v>
      </c>
    </row>
    <row r="2781" spans="1:6" x14ac:dyDescent="0.25">
      <c r="A2781" s="4" t="str">
        <f>CONCATENATE("3071-0000-3682","")</f>
        <v>3071-0000-3682</v>
      </c>
      <c r="B2781" s="4" t="s">
        <v>1699</v>
      </c>
      <c r="C2781" s="5">
        <v>41489</v>
      </c>
      <c r="D2781" s="5">
        <v>41549</v>
      </c>
      <c r="E2781" s="4" t="s">
        <v>1410</v>
      </c>
      <c r="F2781" s="4" t="s">
        <v>1613</v>
      </c>
    </row>
    <row r="2782" spans="1:6" x14ac:dyDescent="0.25">
      <c r="A2782" s="4" t="str">
        <f>CONCATENATE("3071-0000-0483","")</f>
        <v>3071-0000-0483</v>
      </c>
      <c r="B2782" s="4" t="s">
        <v>501</v>
      </c>
      <c r="C2782" s="5">
        <v>41489</v>
      </c>
      <c r="D2782" s="5">
        <v>41549</v>
      </c>
      <c r="E2782" s="4" t="s">
        <v>7</v>
      </c>
      <c r="F2782" s="4" t="s">
        <v>7</v>
      </c>
    </row>
    <row r="2783" spans="1:6" x14ac:dyDescent="0.25">
      <c r="A2783" s="4" t="str">
        <f>CONCATENATE("3071-0000-6633","")</f>
        <v>3071-0000-6633</v>
      </c>
      <c r="B2783" s="4" t="s">
        <v>8229</v>
      </c>
      <c r="C2783" s="5">
        <v>41489</v>
      </c>
      <c r="D2783" s="5">
        <v>41549</v>
      </c>
      <c r="E2783" s="4" t="s">
        <v>5185</v>
      </c>
      <c r="F2783" s="4" t="s">
        <v>5185</v>
      </c>
    </row>
    <row r="2784" spans="1:6" x14ac:dyDescent="0.25">
      <c r="A2784" s="4" t="str">
        <f>CONCATENATE("3071-0000-9389","")</f>
        <v>3071-0000-9389</v>
      </c>
      <c r="B2784" s="4" t="s">
        <v>8690</v>
      </c>
      <c r="C2784" s="5">
        <v>41489</v>
      </c>
      <c r="D2784" s="5">
        <v>41549</v>
      </c>
      <c r="E2784" s="4" t="s">
        <v>1410</v>
      </c>
      <c r="F2784" s="4" t="s">
        <v>4459</v>
      </c>
    </row>
    <row r="2785" spans="1:6" x14ac:dyDescent="0.25">
      <c r="A2785" s="4" t="str">
        <f>CONCATENATE("3071-0000-9257","")</f>
        <v>3071-0000-9257</v>
      </c>
      <c r="B2785" s="4" t="s">
        <v>8621</v>
      </c>
      <c r="C2785" s="5">
        <v>41489</v>
      </c>
      <c r="D2785" s="5">
        <v>41549</v>
      </c>
      <c r="E2785" s="4" t="s">
        <v>5185</v>
      </c>
      <c r="F2785" s="4" t="s">
        <v>5185</v>
      </c>
    </row>
    <row r="2786" spans="1:6" x14ac:dyDescent="0.25">
      <c r="A2786" s="4" t="str">
        <f>CONCATENATE("3071-0000-9544","")</f>
        <v>3071-0000-9544</v>
      </c>
      <c r="B2786" s="4" t="s">
        <v>8657</v>
      </c>
      <c r="C2786" s="5">
        <v>41489</v>
      </c>
      <c r="D2786" s="5">
        <v>41549</v>
      </c>
      <c r="E2786" s="4" t="s">
        <v>1410</v>
      </c>
      <c r="F2786" s="4" t="s">
        <v>4459</v>
      </c>
    </row>
    <row r="2787" spans="1:6" x14ac:dyDescent="0.25">
      <c r="A2787" s="4" t="str">
        <f>CONCATENATE("3071-0000-7088","")</f>
        <v>3071-0000-7088</v>
      </c>
      <c r="B2787" s="4" t="s">
        <v>4862</v>
      </c>
      <c r="C2787" s="5">
        <v>41489</v>
      </c>
      <c r="D2787" s="5">
        <v>41549</v>
      </c>
      <c r="E2787" s="4" t="s">
        <v>1410</v>
      </c>
      <c r="F2787" s="4" t="s">
        <v>1410</v>
      </c>
    </row>
    <row r="2788" spans="1:6" x14ac:dyDescent="0.25">
      <c r="A2788" s="4" t="str">
        <f>CONCATENATE("3071-0000-9567","")</f>
        <v>3071-0000-9567</v>
      </c>
      <c r="B2788" s="4" t="s">
        <v>8457</v>
      </c>
      <c r="C2788" s="5">
        <v>41489</v>
      </c>
      <c r="D2788" s="5">
        <v>41549</v>
      </c>
      <c r="E2788" s="4" t="s">
        <v>1410</v>
      </c>
      <c r="F2788" s="4" t="s">
        <v>4459</v>
      </c>
    </row>
    <row r="2789" spans="1:6" x14ac:dyDescent="0.25">
      <c r="A2789" s="4" t="str">
        <f>CONCATENATE("3071-0000-9456","")</f>
        <v>3071-0000-9456</v>
      </c>
      <c r="B2789" s="4" t="s">
        <v>8517</v>
      </c>
      <c r="C2789" s="5">
        <v>41489</v>
      </c>
      <c r="D2789" s="5">
        <v>41549</v>
      </c>
      <c r="E2789" s="4" t="s">
        <v>1410</v>
      </c>
      <c r="F2789" s="4" t="s">
        <v>4459</v>
      </c>
    </row>
    <row r="2790" spans="1:6" x14ac:dyDescent="0.25">
      <c r="A2790" s="4" t="str">
        <f>CONCATENATE("3071-0000-9445","")</f>
        <v>3071-0000-9445</v>
      </c>
      <c r="B2790" s="4" t="s">
        <v>8507</v>
      </c>
      <c r="C2790" s="5">
        <v>41489</v>
      </c>
      <c r="D2790" s="5">
        <v>41549</v>
      </c>
      <c r="E2790" s="4" t="s">
        <v>1410</v>
      </c>
      <c r="F2790" s="4" t="s">
        <v>4459</v>
      </c>
    </row>
    <row r="2791" spans="1:6" x14ac:dyDescent="0.25">
      <c r="A2791" s="4" t="str">
        <f>CONCATENATE("3071-0000-9405","")</f>
        <v>3071-0000-9405</v>
      </c>
      <c r="B2791" s="4" t="s">
        <v>8490</v>
      </c>
      <c r="C2791" s="5">
        <v>41489</v>
      </c>
      <c r="D2791" s="5">
        <v>41549</v>
      </c>
      <c r="E2791" s="4" t="s">
        <v>1410</v>
      </c>
      <c r="F2791" s="4" t="s">
        <v>4459</v>
      </c>
    </row>
    <row r="2792" spans="1:6" x14ac:dyDescent="0.25">
      <c r="A2792" s="4" t="str">
        <f>CONCATENATE("3071-0000-9324","")</f>
        <v>3071-0000-9324</v>
      </c>
      <c r="B2792" s="4" t="s">
        <v>8532</v>
      </c>
      <c r="C2792" s="5">
        <v>41489</v>
      </c>
      <c r="D2792" s="5">
        <v>41549</v>
      </c>
      <c r="E2792" s="4" t="s">
        <v>5185</v>
      </c>
      <c r="F2792" s="4" t="s">
        <v>5185</v>
      </c>
    </row>
    <row r="2793" spans="1:6" x14ac:dyDescent="0.25">
      <c r="A2793" s="4" t="str">
        <f>CONCATENATE("3071-0000-9371","")</f>
        <v>3071-0000-9371</v>
      </c>
      <c r="B2793" s="4" t="s">
        <v>8464</v>
      </c>
      <c r="C2793" s="5">
        <v>41489</v>
      </c>
      <c r="D2793" s="5">
        <v>41549</v>
      </c>
      <c r="E2793" s="4" t="s">
        <v>1410</v>
      </c>
      <c r="F2793" s="4" t="s">
        <v>4459</v>
      </c>
    </row>
    <row r="2794" spans="1:6" x14ac:dyDescent="0.25">
      <c r="A2794" s="4" t="str">
        <f>CONCATENATE("3071-0000-9348","")</f>
        <v>3071-0000-9348</v>
      </c>
      <c r="B2794" s="4" t="s">
        <v>8459</v>
      </c>
      <c r="C2794" s="5">
        <v>41489</v>
      </c>
      <c r="D2794" s="5">
        <v>41549</v>
      </c>
      <c r="E2794" s="4" t="s">
        <v>1410</v>
      </c>
      <c r="F2794" s="4" t="s">
        <v>4459</v>
      </c>
    </row>
    <row r="2795" spans="1:6" x14ac:dyDescent="0.25">
      <c r="A2795" s="4" t="str">
        <f>CONCATENATE("3071-0000-9541","")</f>
        <v>3071-0000-9541</v>
      </c>
      <c r="B2795" s="4" t="s">
        <v>8655</v>
      </c>
      <c r="C2795" s="5">
        <v>41489</v>
      </c>
      <c r="D2795" s="5">
        <v>41549</v>
      </c>
      <c r="E2795" s="4" t="s">
        <v>1410</v>
      </c>
      <c r="F2795" s="4" t="s">
        <v>4459</v>
      </c>
    </row>
    <row r="2796" spans="1:6" x14ac:dyDescent="0.25">
      <c r="A2796" s="4" t="str">
        <f>CONCATENATE("3071-0000-6619","")</f>
        <v>3071-0000-6619</v>
      </c>
      <c r="B2796" s="4" t="s">
        <v>8204</v>
      </c>
      <c r="C2796" s="5">
        <v>41489</v>
      </c>
      <c r="D2796" s="5">
        <v>41549</v>
      </c>
      <c r="E2796" s="4" t="s">
        <v>5185</v>
      </c>
      <c r="F2796" s="4" t="s">
        <v>5185</v>
      </c>
    </row>
    <row r="2797" spans="1:6" x14ac:dyDescent="0.25">
      <c r="A2797" s="4" t="str">
        <f>CONCATENATE("3071-0000-9549","")</f>
        <v>3071-0000-9549</v>
      </c>
      <c r="B2797" s="4" t="s">
        <v>8659</v>
      </c>
      <c r="C2797" s="5">
        <v>41489</v>
      </c>
      <c r="D2797" s="5">
        <v>41549</v>
      </c>
      <c r="E2797" s="4" t="s">
        <v>1410</v>
      </c>
      <c r="F2797" s="4" t="s">
        <v>4459</v>
      </c>
    </row>
    <row r="2798" spans="1:6" x14ac:dyDescent="0.25">
      <c r="A2798" s="4" t="str">
        <f>CONCATENATE("3071-0000-6792","")</f>
        <v>3071-0000-6792</v>
      </c>
      <c r="B2798" s="4" t="s">
        <v>8247</v>
      </c>
      <c r="C2798" s="5">
        <v>41489</v>
      </c>
      <c r="D2798" s="5">
        <v>41549</v>
      </c>
      <c r="E2798" s="4" t="s">
        <v>1410</v>
      </c>
      <c r="F2798" s="4" t="s">
        <v>8192</v>
      </c>
    </row>
    <row r="2799" spans="1:6" x14ac:dyDescent="0.25">
      <c r="A2799" s="4" t="str">
        <f>CONCATENATE("3071-0000-6653","")</f>
        <v>3071-0000-6653</v>
      </c>
      <c r="B2799" s="4" t="s">
        <v>8243</v>
      </c>
      <c r="C2799" s="5">
        <v>41489</v>
      </c>
      <c r="D2799" s="5">
        <v>41549</v>
      </c>
      <c r="E2799" s="4" t="s">
        <v>5185</v>
      </c>
      <c r="F2799" s="4" t="s">
        <v>5185</v>
      </c>
    </row>
    <row r="2800" spans="1:6" x14ac:dyDescent="0.25">
      <c r="A2800" s="4" t="str">
        <f>CONCATENATE("3071-0000-9346","")</f>
        <v>3071-0000-9346</v>
      </c>
      <c r="B2800" s="4" t="s">
        <v>8470</v>
      </c>
      <c r="C2800" s="5">
        <v>41489</v>
      </c>
      <c r="D2800" s="5">
        <v>41549</v>
      </c>
      <c r="E2800" s="4" t="s">
        <v>1410</v>
      </c>
      <c r="F2800" s="4" t="s">
        <v>4459</v>
      </c>
    </row>
    <row r="2801" spans="1:6" x14ac:dyDescent="0.25">
      <c r="A2801" s="4" t="str">
        <f>CONCATENATE("3071-0000-7342","")</f>
        <v>3071-0000-7342</v>
      </c>
      <c r="B2801" s="4" t="s">
        <v>4342</v>
      </c>
      <c r="C2801" s="5">
        <v>41489</v>
      </c>
      <c r="D2801" s="5">
        <v>41549</v>
      </c>
      <c r="E2801" s="4" t="s">
        <v>1410</v>
      </c>
      <c r="F2801" s="4" t="s">
        <v>1410</v>
      </c>
    </row>
    <row r="2802" spans="1:6" x14ac:dyDescent="0.25">
      <c r="A2802" s="4" t="str">
        <f>CONCATENATE("3071-0000-6575","")</f>
        <v>3071-0000-6575</v>
      </c>
      <c r="B2802" s="4" t="s">
        <v>8203</v>
      </c>
      <c r="C2802" s="5">
        <v>41489</v>
      </c>
      <c r="D2802" s="5">
        <v>41549</v>
      </c>
      <c r="E2802" s="4" t="s">
        <v>5185</v>
      </c>
      <c r="F2802" s="4" t="s">
        <v>5185</v>
      </c>
    </row>
    <row r="2803" spans="1:6" x14ac:dyDescent="0.25">
      <c r="A2803" s="4" t="str">
        <f>CONCATENATE("3071-0000-9392","")</f>
        <v>3071-0000-9392</v>
      </c>
      <c r="B2803" s="4" t="s">
        <v>8679</v>
      </c>
      <c r="C2803" s="5">
        <v>41489</v>
      </c>
      <c r="D2803" s="5">
        <v>41549</v>
      </c>
      <c r="E2803" s="4" t="s">
        <v>1410</v>
      </c>
      <c r="F2803" s="4" t="s">
        <v>4459</v>
      </c>
    </row>
    <row r="2804" spans="1:6" x14ac:dyDescent="0.25">
      <c r="A2804" s="4" t="str">
        <f>CONCATENATE("3071-0000-6998","")</f>
        <v>3071-0000-6998</v>
      </c>
      <c r="B2804" s="4" t="s">
        <v>4356</v>
      </c>
      <c r="C2804" s="5">
        <v>41489</v>
      </c>
      <c r="D2804" s="5">
        <v>41549</v>
      </c>
      <c r="E2804" s="4" t="s">
        <v>1410</v>
      </c>
      <c r="F2804" s="4" t="s">
        <v>1410</v>
      </c>
    </row>
    <row r="2805" spans="1:6" x14ac:dyDescent="0.25">
      <c r="A2805" s="4" t="str">
        <f>CONCATENATE("3071-0000-9468","")</f>
        <v>3071-0000-9468</v>
      </c>
      <c r="B2805" s="4" t="s">
        <v>8524</v>
      </c>
      <c r="C2805" s="5">
        <v>41489</v>
      </c>
      <c r="D2805" s="5">
        <v>41549</v>
      </c>
      <c r="E2805" s="4" t="s">
        <v>1410</v>
      </c>
      <c r="F2805" s="4" t="s">
        <v>4459</v>
      </c>
    </row>
    <row r="2806" spans="1:6" x14ac:dyDescent="0.25">
      <c r="A2806" s="4" t="str">
        <f>CONCATENATE("3071-0000-0704","")</f>
        <v>3071-0000-0704</v>
      </c>
      <c r="B2806" s="4" t="s">
        <v>27</v>
      </c>
      <c r="C2806" s="5">
        <v>41489</v>
      </c>
      <c r="D2806" s="5">
        <v>41549</v>
      </c>
      <c r="E2806" s="4" t="s">
        <v>7</v>
      </c>
      <c r="F2806" s="4" t="s">
        <v>7</v>
      </c>
    </row>
    <row r="2807" spans="1:6" x14ac:dyDescent="0.25">
      <c r="A2807" s="4" t="str">
        <f>CONCATENATE("3071-0000-1404","")</f>
        <v>3071-0000-1404</v>
      </c>
      <c r="B2807" s="4" t="s">
        <v>2681</v>
      </c>
      <c r="C2807" s="5">
        <v>41489</v>
      </c>
      <c r="D2807" s="5">
        <v>41549</v>
      </c>
      <c r="E2807" s="4" t="s">
        <v>1381</v>
      </c>
      <c r="F2807" s="4" t="s">
        <v>2303</v>
      </c>
    </row>
    <row r="2808" spans="1:6" x14ac:dyDescent="0.25">
      <c r="A2808" s="4" t="str">
        <f>CONCATENATE("3071-0000-1443","")</f>
        <v>3071-0000-1443</v>
      </c>
      <c r="B2808" s="4" t="s">
        <v>2677</v>
      </c>
      <c r="C2808" s="5">
        <v>41489</v>
      </c>
      <c r="D2808" s="5">
        <v>41549</v>
      </c>
      <c r="E2808" s="4" t="s">
        <v>1381</v>
      </c>
      <c r="F2808" s="4" t="s">
        <v>2303</v>
      </c>
    </row>
    <row r="2809" spans="1:6" x14ac:dyDescent="0.25">
      <c r="A2809" s="4" t="str">
        <f>CONCATENATE("3071-0000-3996","")</f>
        <v>3071-0000-3996</v>
      </c>
      <c r="B2809" s="4" t="s">
        <v>3913</v>
      </c>
      <c r="C2809" s="5">
        <v>41489</v>
      </c>
      <c r="D2809" s="5">
        <v>41549</v>
      </c>
      <c r="E2809" s="4" t="s">
        <v>2944</v>
      </c>
      <c r="F2809" s="4" t="s">
        <v>3513</v>
      </c>
    </row>
    <row r="2810" spans="1:6" x14ac:dyDescent="0.25">
      <c r="A2810" s="4" t="str">
        <f>CONCATENATE("3071-0000-1182","")</f>
        <v>3071-0000-1182</v>
      </c>
      <c r="B2810" s="4" t="s">
        <v>1898</v>
      </c>
      <c r="C2810" s="5">
        <v>41489</v>
      </c>
      <c r="D2810" s="5">
        <v>41549</v>
      </c>
      <c r="E2810" s="4" t="s">
        <v>1857</v>
      </c>
      <c r="F2810" s="4" t="s">
        <v>1857</v>
      </c>
    </row>
    <row r="2811" spans="1:6" x14ac:dyDescent="0.25">
      <c r="A2811" s="4" t="str">
        <f>CONCATENATE("3071-0000-7380","")</f>
        <v>3071-0000-7380</v>
      </c>
      <c r="B2811" s="4" t="s">
        <v>4346</v>
      </c>
      <c r="C2811" s="5">
        <v>41489</v>
      </c>
      <c r="D2811" s="5">
        <v>41549</v>
      </c>
      <c r="E2811" s="4" t="s">
        <v>1410</v>
      </c>
      <c r="F2811" s="4" t="s">
        <v>1410</v>
      </c>
    </row>
    <row r="2812" spans="1:6" x14ac:dyDescent="0.25">
      <c r="A2812" s="4" t="str">
        <f>CONCATENATE("3071-0000-6270","")</f>
        <v>3071-0000-6270</v>
      </c>
      <c r="B2812" s="4" t="s">
        <v>7080</v>
      </c>
      <c r="C2812" s="5">
        <v>41489</v>
      </c>
      <c r="D2812" s="5">
        <v>41549</v>
      </c>
      <c r="E2812" s="4" t="s">
        <v>7069</v>
      </c>
      <c r="F2812" s="4" t="s">
        <v>7070</v>
      </c>
    </row>
    <row r="2813" spans="1:6" x14ac:dyDescent="0.25">
      <c r="A2813" s="4" t="str">
        <f>CONCATENATE("3071-0000-8781","")</f>
        <v>3071-0000-8781</v>
      </c>
      <c r="B2813" s="4" t="s">
        <v>6598</v>
      </c>
      <c r="C2813" s="5">
        <v>41489</v>
      </c>
      <c r="D2813" s="5">
        <v>41549</v>
      </c>
      <c r="E2813" s="4" t="s">
        <v>5185</v>
      </c>
      <c r="F2813" s="4" t="s">
        <v>5292</v>
      </c>
    </row>
    <row r="2814" spans="1:6" x14ac:dyDescent="0.25">
      <c r="A2814" s="4" t="str">
        <f>CONCATENATE("3071-0000-4823","")</f>
        <v>3071-0000-4823</v>
      </c>
      <c r="B2814" s="4" t="s">
        <v>9393</v>
      </c>
      <c r="C2814" s="5">
        <v>41489</v>
      </c>
      <c r="D2814" s="5">
        <v>41549</v>
      </c>
      <c r="E2814" s="4" t="s">
        <v>1410</v>
      </c>
      <c r="F2814" s="4" t="s">
        <v>8696</v>
      </c>
    </row>
    <row r="2815" spans="1:6" x14ac:dyDescent="0.25">
      <c r="A2815" s="4" t="str">
        <f>CONCATENATE("3071-0000-7635","")</f>
        <v>3071-0000-7635</v>
      </c>
      <c r="B2815" s="4" t="s">
        <v>5168</v>
      </c>
      <c r="C2815" s="5">
        <v>41489</v>
      </c>
      <c r="D2815" s="5">
        <v>41549</v>
      </c>
      <c r="E2815" s="4" t="s">
        <v>1410</v>
      </c>
      <c r="F2815" s="4" t="s">
        <v>4616</v>
      </c>
    </row>
    <row r="2816" spans="1:6" x14ac:dyDescent="0.25">
      <c r="A2816" s="4" t="str">
        <f>CONCATENATE("3071-0000-4631","")</f>
        <v>3071-0000-4631</v>
      </c>
      <c r="B2816" s="4" t="s">
        <v>9101</v>
      </c>
      <c r="C2816" s="5">
        <v>41489</v>
      </c>
      <c r="D2816" s="5">
        <v>41549</v>
      </c>
      <c r="E2816" s="4" t="s">
        <v>1410</v>
      </c>
      <c r="F2816" s="4" t="s">
        <v>8696</v>
      </c>
    </row>
    <row r="2817" spans="1:6" x14ac:dyDescent="0.25">
      <c r="A2817" s="4" t="str">
        <f>CONCATENATE("3071-0000-4603","")</f>
        <v>3071-0000-4603</v>
      </c>
      <c r="B2817" s="4" t="s">
        <v>9131</v>
      </c>
      <c r="C2817" s="5">
        <v>41489</v>
      </c>
      <c r="D2817" s="5">
        <v>41549</v>
      </c>
      <c r="E2817" s="4" t="s">
        <v>1410</v>
      </c>
      <c r="F2817" s="4" t="s">
        <v>8696</v>
      </c>
    </row>
    <row r="2818" spans="1:6" x14ac:dyDescent="0.25">
      <c r="A2818" s="4" t="str">
        <f>CONCATENATE("3071-0000-1584","")</f>
        <v>3071-0000-1584</v>
      </c>
      <c r="B2818" s="4" t="s">
        <v>2881</v>
      </c>
      <c r="C2818" s="5">
        <v>41489</v>
      </c>
      <c r="D2818" s="5">
        <v>41549</v>
      </c>
      <c r="E2818" s="4" t="s">
        <v>1381</v>
      </c>
      <c r="F2818" s="4" t="s">
        <v>2303</v>
      </c>
    </row>
    <row r="2819" spans="1:6" x14ac:dyDescent="0.25">
      <c r="A2819" s="4" t="str">
        <f>CONCATENATE("3071-0000-4526","")</f>
        <v>3071-0000-4526</v>
      </c>
      <c r="B2819" s="4" t="s">
        <v>9539</v>
      </c>
      <c r="C2819" s="5">
        <v>41489</v>
      </c>
      <c r="D2819" s="5">
        <v>41549</v>
      </c>
      <c r="E2819" s="4" t="s">
        <v>1410</v>
      </c>
      <c r="F2819" s="4" t="s">
        <v>8696</v>
      </c>
    </row>
    <row r="2820" spans="1:6" x14ac:dyDescent="0.25">
      <c r="A2820" s="4" t="str">
        <f>CONCATENATE("3071-0000-6306","")</f>
        <v>3071-0000-6306</v>
      </c>
      <c r="B2820" s="4" t="s">
        <v>7085</v>
      </c>
      <c r="C2820" s="5">
        <v>41489</v>
      </c>
      <c r="D2820" s="5">
        <v>41549</v>
      </c>
      <c r="E2820" s="4" t="s">
        <v>7069</v>
      </c>
      <c r="F2820" s="4" t="s">
        <v>7070</v>
      </c>
    </row>
    <row r="2821" spans="1:6" x14ac:dyDescent="0.25">
      <c r="A2821" s="4" t="str">
        <f>CONCATENATE("3071-0000-4461","")</f>
        <v>3071-0000-4461</v>
      </c>
      <c r="B2821" s="4" t="s">
        <v>9344</v>
      </c>
      <c r="C2821" s="5">
        <v>41489</v>
      </c>
      <c r="D2821" s="5">
        <v>41549</v>
      </c>
      <c r="E2821" s="4" t="s">
        <v>1410</v>
      </c>
      <c r="F2821" s="4" t="s">
        <v>8696</v>
      </c>
    </row>
    <row r="2822" spans="1:6" x14ac:dyDescent="0.25">
      <c r="A2822" s="4" t="str">
        <f>CONCATENATE("3071-0000-4863","")</f>
        <v>3071-0000-4863</v>
      </c>
      <c r="B2822" s="4" t="s">
        <v>9561</v>
      </c>
      <c r="C2822" s="5">
        <v>41489</v>
      </c>
      <c r="D2822" s="5">
        <v>41549</v>
      </c>
      <c r="E2822" s="4" t="s">
        <v>7069</v>
      </c>
      <c r="F2822" s="4" t="s">
        <v>9485</v>
      </c>
    </row>
    <row r="2823" spans="1:6" x14ac:dyDescent="0.25">
      <c r="A2823" s="4" t="str">
        <f>CONCATENATE("3071-0000-9259","")</f>
        <v>3071-0000-9259</v>
      </c>
      <c r="B2823" s="4" t="s">
        <v>8533</v>
      </c>
      <c r="C2823" s="5">
        <v>41489</v>
      </c>
      <c r="D2823" s="5">
        <v>41549</v>
      </c>
      <c r="E2823" s="4" t="s">
        <v>1410</v>
      </c>
      <c r="F2823" s="4" t="s">
        <v>4459</v>
      </c>
    </row>
    <row r="2824" spans="1:6" x14ac:dyDescent="0.25">
      <c r="A2824" s="4" t="str">
        <f>CONCATENATE("3071-0000-4493","")</f>
        <v>3071-0000-4493</v>
      </c>
      <c r="B2824" s="4" t="s">
        <v>9486</v>
      </c>
      <c r="C2824" s="5">
        <v>41489</v>
      </c>
      <c r="D2824" s="5">
        <v>41549</v>
      </c>
      <c r="E2824" s="4" t="s">
        <v>1410</v>
      </c>
      <c r="F2824" s="4" t="s">
        <v>8696</v>
      </c>
    </row>
    <row r="2825" spans="1:6" x14ac:dyDescent="0.25">
      <c r="A2825" s="4" t="str">
        <f>CONCATENATE("3071-0000-8871","")</f>
        <v>3071-0000-8871</v>
      </c>
      <c r="B2825" s="4" t="s">
        <v>6592</v>
      </c>
      <c r="C2825" s="5">
        <v>41489</v>
      </c>
      <c r="D2825" s="5">
        <v>41549</v>
      </c>
      <c r="E2825" s="4" t="s">
        <v>5185</v>
      </c>
      <c r="F2825" s="4" t="s">
        <v>5292</v>
      </c>
    </row>
    <row r="2826" spans="1:6" x14ac:dyDescent="0.25">
      <c r="A2826" s="4" t="str">
        <f>CONCATENATE("3071-0000-6304","")</f>
        <v>3071-0000-6304</v>
      </c>
      <c r="B2826" s="4" t="s">
        <v>7083</v>
      </c>
      <c r="C2826" s="5">
        <v>41489</v>
      </c>
      <c r="D2826" s="5">
        <v>41549</v>
      </c>
      <c r="E2826" s="4" t="s">
        <v>7069</v>
      </c>
      <c r="F2826" s="4" t="s">
        <v>7070</v>
      </c>
    </row>
    <row r="2827" spans="1:6" x14ac:dyDescent="0.25">
      <c r="A2827" s="4" t="str">
        <f>CONCATENATE("3071-0000-8324","")</f>
        <v>3071-0000-8324</v>
      </c>
      <c r="B2827" s="4" t="s">
        <v>6322</v>
      </c>
      <c r="C2827" s="5">
        <v>41489</v>
      </c>
      <c r="D2827" s="5">
        <v>41549</v>
      </c>
      <c r="E2827" s="4" t="s">
        <v>5185</v>
      </c>
      <c r="F2827" s="4" t="s">
        <v>5185</v>
      </c>
    </row>
    <row r="2828" spans="1:6" x14ac:dyDescent="0.25">
      <c r="A2828" s="4" t="str">
        <f>CONCATENATE("3071-0000-4818","")</f>
        <v>3071-0000-4818</v>
      </c>
      <c r="B2828" s="4" t="s">
        <v>9200</v>
      </c>
      <c r="C2828" s="5">
        <v>41489</v>
      </c>
      <c r="D2828" s="5">
        <v>41549</v>
      </c>
      <c r="E2828" s="4" t="s">
        <v>1410</v>
      </c>
      <c r="F2828" s="4" t="s">
        <v>8696</v>
      </c>
    </row>
    <row r="2829" spans="1:6" x14ac:dyDescent="0.25">
      <c r="A2829" s="4" t="str">
        <f>CONCATENATE("3071-0000-8743","")</f>
        <v>3071-0000-8743</v>
      </c>
      <c r="B2829" s="4" t="s">
        <v>6572</v>
      </c>
      <c r="C2829" s="5">
        <v>41489</v>
      </c>
      <c r="D2829" s="5">
        <v>41549</v>
      </c>
      <c r="E2829" s="4" t="s">
        <v>5185</v>
      </c>
      <c r="F2829" s="4" t="s">
        <v>5292</v>
      </c>
    </row>
    <row r="2830" spans="1:6" x14ac:dyDescent="0.25">
      <c r="A2830" s="4" t="str">
        <f>CONCATENATE("3071-0000-8404","")</f>
        <v>3071-0000-8404</v>
      </c>
      <c r="B2830" s="4" t="s">
        <v>5644</v>
      </c>
      <c r="C2830" s="5">
        <v>41489</v>
      </c>
      <c r="D2830" s="5">
        <v>41549</v>
      </c>
      <c r="E2830" s="4" t="s">
        <v>5185</v>
      </c>
      <c r="F2830" s="4" t="s">
        <v>5185</v>
      </c>
    </row>
    <row r="2831" spans="1:6" x14ac:dyDescent="0.25">
      <c r="A2831" s="4" t="str">
        <f>CONCATENATE("3071-0000-1349","")</f>
        <v>3071-0000-1349</v>
      </c>
      <c r="B2831" s="4" t="s">
        <v>2487</v>
      </c>
      <c r="C2831" s="5">
        <v>41489</v>
      </c>
      <c r="D2831" s="5">
        <v>41549</v>
      </c>
      <c r="E2831" s="4" t="s">
        <v>1381</v>
      </c>
      <c r="F2831" s="4" t="s">
        <v>2303</v>
      </c>
    </row>
    <row r="2832" spans="1:6" x14ac:dyDescent="0.25">
      <c r="A2832" s="4" t="str">
        <f>CONCATENATE("3071-0000-1476","")</f>
        <v>3071-0000-1476</v>
      </c>
      <c r="B2832" s="4" t="s">
        <v>2923</v>
      </c>
      <c r="C2832" s="5">
        <v>41489</v>
      </c>
      <c r="D2832" s="5">
        <v>41549</v>
      </c>
      <c r="E2832" s="4" t="s">
        <v>1381</v>
      </c>
      <c r="F2832" s="4" t="s">
        <v>2303</v>
      </c>
    </row>
    <row r="2833" spans="1:6" x14ac:dyDescent="0.25">
      <c r="A2833" s="4" t="str">
        <f>CONCATENATE("3071-0000-1699","")</f>
        <v>3071-0000-1699</v>
      </c>
      <c r="B2833" s="4" t="s">
        <v>2716</v>
      </c>
      <c r="C2833" s="5">
        <v>41489</v>
      </c>
      <c r="D2833" s="5">
        <v>41549</v>
      </c>
      <c r="E2833" s="4" t="s">
        <v>1381</v>
      </c>
      <c r="F2833" s="4" t="s">
        <v>2662</v>
      </c>
    </row>
    <row r="2834" spans="1:6" x14ac:dyDescent="0.25">
      <c r="A2834" s="4" t="str">
        <f>CONCATENATE("3071-0000-2704","")</f>
        <v>3071-0000-2704</v>
      </c>
      <c r="B2834" s="4" t="s">
        <v>3770</v>
      </c>
      <c r="C2834" s="5">
        <v>41489</v>
      </c>
      <c r="D2834" s="5">
        <v>41549</v>
      </c>
      <c r="E2834" s="4" t="s">
        <v>2944</v>
      </c>
      <c r="F2834" s="4" t="s">
        <v>3115</v>
      </c>
    </row>
    <row r="2835" spans="1:6" x14ac:dyDescent="0.25">
      <c r="A2835" s="4" t="str">
        <f>CONCATENATE("3071-0000-2719","")</f>
        <v>3071-0000-2719</v>
      </c>
      <c r="B2835" s="4" t="s">
        <v>3113</v>
      </c>
      <c r="C2835" s="5">
        <v>41489</v>
      </c>
      <c r="D2835" s="5">
        <v>41549</v>
      </c>
      <c r="E2835" s="4" t="s">
        <v>2944</v>
      </c>
      <c r="F2835" s="4" t="s">
        <v>2945</v>
      </c>
    </row>
    <row r="2836" spans="1:6" x14ac:dyDescent="0.25">
      <c r="A2836" s="4" t="str">
        <f>CONCATENATE("3071-0000-0103","")</f>
        <v>3071-0000-0103</v>
      </c>
      <c r="B2836" s="4" t="s">
        <v>200</v>
      </c>
      <c r="C2836" s="5">
        <v>41489</v>
      </c>
      <c r="D2836" s="5">
        <v>41549</v>
      </c>
      <c r="E2836" s="4" t="s">
        <v>7</v>
      </c>
      <c r="F2836" s="4" t="s">
        <v>7</v>
      </c>
    </row>
    <row r="2837" spans="1:6" x14ac:dyDescent="0.25">
      <c r="A2837" s="4" t="str">
        <f>CONCATENATE("3071-0000-9128","")</f>
        <v>3071-0000-9128</v>
      </c>
      <c r="B2837" s="4" t="s">
        <v>6447</v>
      </c>
      <c r="C2837" s="5">
        <v>41489</v>
      </c>
      <c r="D2837" s="5">
        <v>41549</v>
      </c>
      <c r="E2837" s="4" t="s">
        <v>5185</v>
      </c>
      <c r="F2837" s="4" t="s">
        <v>5292</v>
      </c>
    </row>
    <row r="2838" spans="1:6" x14ac:dyDescent="0.25">
      <c r="A2838" s="4" t="str">
        <f>CONCATENATE("3071-0000-5743","")</f>
        <v>3071-0000-5743</v>
      </c>
      <c r="B2838" s="4" t="s">
        <v>7457</v>
      </c>
      <c r="C2838" s="5">
        <v>41489</v>
      </c>
      <c r="D2838" s="5">
        <v>41549</v>
      </c>
      <c r="E2838" s="4" t="s">
        <v>5185</v>
      </c>
      <c r="F2838" s="4" t="s">
        <v>5185</v>
      </c>
    </row>
    <row r="2839" spans="1:6" x14ac:dyDescent="0.25">
      <c r="A2839" s="4" t="str">
        <f>CONCATENATE("3071-0000-5719","")</f>
        <v>3071-0000-5719</v>
      </c>
      <c r="B2839" s="4" t="s">
        <v>7506</v>
      </c>
      <c r="C2839" s="5">
        <v>41489</v>
      </c>
      <c r="D2839" s="5">
        <v>41549</v>
      </c>
      <c r="E2839" s="4" t="s">
        <v>5185</v>
      </c>
      <c r="F2839" s="4" t="s">
        <v>5185</v>
      </c>
    </row>
    <row r="2840" spans="1:6" x14ac:dyDescent="0.25">
      <c r="A2840" s="4" t="str">
        <f>CONCATENATE("3071-0000-2064","")</f>
        <v>3071-0000-2064</v>
      </c>
      <c r="B2840" s="4" t="s">
        <v>3437</v>
      </c>
      <c r="C2840" s="5">
        <v>41489</v>
      </c>
      <c r="D2840" s="5">
        <v>41549</v>
      </c>
      <c r="E2840" s="4" t="s">
        <v>2944</v>
      </c>
      <c r="F2840" s="4" t="s">
        <v>2945</v>
      </c>
    </row>
    <row r="2841" spans="1:6" x14ac:dyDescent="0.25">
      <c r="A2841" s="4" t="str">
        <f>CONCATENATE("3071-0000-8153","")</f>
        <v>3071-0000-8153</v>
      </c>
      <c r="B2841" s="4" t="s">
        <v>5391</v>
      </c>
      <c r="C2841" s="5">
        <v>41489</v>
      </c>
      <c r="D2841" s="5">
        <v>41549</v>
      </c>
      <c r="E2841" s="4" t="s">
        <v>5185</v>
      </c>
      <c r="F2841" s="4" t="s">
        <v>5185</v>
      </c>
    </row>
    <row r="2842" spans="1:6" x14ac:dyDescent="0.25">
      <c r="A2842" s="4" t="str">
        <f>CONCATENATE("3071-0000-5909","")</f>
        <v>3071-0000-5909</v>
      </c>
      <c r="B2842" s="4" t="s">
        <v>6937</v>
      </c>
      <c r="C2842" s="5">
        <v>41489</v>
      </c>
      <c r="D2842" s="5">
        <v>41549</v>
      </c>
      <c r="E2842" s="4" t="s">
        <v>5185</v>
      </c>
      <c r="F2842" s="4" t="s">
        <v>5185</v>
      </c>
    </row>
    <row r="2843" spans="1:6" x14ac:dyDescent="0.25">
      <c r="A2843" s="4" t="str">
        <f>CONCATENATE("3071-0000-8520","")</f>
        <v>3071-0000-8520</v>
      </c>
      <c r="B2843" s="4" t="s">
        <v>5794</v>
      </c>
      <c r="C2843" s="5">
        <v>41489</v>
      </c>
      <c r="D2843" s="5">
        <v>41549</v>
      </c>
      <c r="E2843" s="4" t="s">
        <v>5185</v>
      </c>
      <c r="F2843" s="4" t="s">
        <v>5763</v>
      </c>
    </row>
    <row r="2844" spans="1:6" x14ac:dyDescent="0.25">
      <c r="A2844" s="4" t="str">
        <f>CONCATENATE("3071-0000-8069","")</f>
        <v>3071-0000-8069</v>
      </c>
      <c r="B2844" s="4" t="s">
        <v>5904</v>
      </c>
      <c r="C2844" s="5">
        <v>41489</v>
      </c>
      <c r="D2844" s="5">
        <v>41549</v>
      </c>
      <c r="E2844" s="4" t="s">
        <v>5185</v>
      </c>
      <c r="F2844" s="4" t="s">
        <v>5185</v>
      </c>
    </row>
    <row r="2845" spans="1:6" x14ac:dyDescent="0.25">
      <c r="A2845" s="4" t="str">
        <f>CONCATENATE("3071-0000-3420","")</f>
        <v>3071-0000-3420</v>
      </c>
      <c r="B2845" s="4" t="s">
        <v>1606</v>
      </c>
      <c r="C2845" s="5">
        <v>41489</v>
      </c>
      <c r="D2845" s="5">
        <v>41549</v>
      </c>
      <c r="E2845" s="4" t="s">
        <v>1410</v>
      </c>
      <c r="F2845" s="4" t="s">
        <v>1411</v>
      </c>
    </row>
    <row r="2846" spans="1:6" x14ac:dyDescent="0.25">
      <c r="A2846" s="4" t="str">
        <f>CONCATENATE("3071-0000-9224","")</f>
        <v>3071-0000-9224</v>
      </c>
      <c r="B2846" s="4" t="s">
        <v>8305</v>
      </c>
      <c r="C2846" s="5">
        <v>41489</v>
      </c>
      <c r="D2846" s="5">
        <v>41549</v>
      </c>
      <c r="E2846" s="4" t="s">
        <v>5185</v>
      </c>
      <c r="F2846" s="4" t="s">
        <v>5185</v>
      </c>
    </row>
    <row r="2847" spans="1:6" x14ac:dyDescent="0.25">
      <c r="A2847" s="4" t="str">
        <f>CONCATENATE("3071-0000-2074","")</f>
        <v>3071-0000-2074</v>
      </c>
      <c r="B2847" s="4" t="s">
        <v>3454</v>
      </c>
      <c r="C2847" s="5">
        <v>41489</v>
      </c>
      <c r="D2847" s="5">
        <v>41549</v>
      </c>
      <c r="E2847" s="4" t="s">
        <v>2944</v>
      </c>
      <c r="F2847" s="4" t="s">
        <v>2945</v>
      </c>
    </row>
    <row r="2848" spans="1:6" x14ac:dyDescent="0.25">
      <c r="A2848" s="4" t="str">
        <f>CONCATENATE("3071-0000-2582","")</f>
        <v>3071-0000-2582</v>
      </c>
      <c r="B2848" s="4" t="s">
        <v>3261</v>
      </c>
      <c r="C2848" s="5">
        <v>41489</v>
      </c>
      <c r="D2848" s="5">
        <v>41549</v>
      </c>
      <c r="E2848" s="4" t="s">
        <v>2944</v>
      </c>
      <c r="F2848" s="4" t="s">
        <v>3164</v>
      </c>
    </row>
    <row r="2849" spans="1:6" x14ac:dyDescent="0.25">
      <c r="A2849" s="4" t="str">
        <f>CONCATENATE("3071-0000-1087","")</f>
        <v>3071-0000-1087</v>
      </c>
      <c r="B2849" s="4" t="s">
        <v>1867</v>
      </c>
      <c r="C2849" s="5">
        <v>41489</v>
      </c>
      <c r="D2849" s="5">
        <v>41549</v>
      </c>
      <c r="E2849" s="4" t="s">
        <v>1857</v>
      </c>
      <c r="F2849" s="4" t="s">
        <v>1857</v>
      </c>
    </row>
    <row r="2850" spans="1:6" x14ac:dyDescent="0.25">
      <c r="A2850" s="4" t="str">
        <f>CONCATENATE("3071-0000-1183","")</f>
        <v>3071-0000-1183</v>
      </c>
      <c r="B2850" s="4" t="s">
        <v>2051</v>
      </c>
      <c r="C2850" s="5">
        <v>41489</v>
      </c>
      <c r="D2850" s="5">
        <v>41549</v>
      </c>
      <c r="E2850" s="4" t="s">
        <v>1857</v>
      </c>
      <c r="F2850" s="4" t="s">
        <v>2052</v>
      </c>
    </row>
    <row r="2851" spans="1:6" x14ac:dyDescent="0.25">
      <c r="A2851" s="4" t="str">
        <f>CONCATENATE("3071-0000-3202","")</f>
        <v>3071-0000-3202</v>
      </c>
      <c r="B2851" s="4" t="s">
        <v>981</v>
      </c>
      <c r="C2851" s="5">
        <v>41489</v>
      </c>
      <c r="D2851" s="5">
        <v>41549</v>
      </c>
      <c r="E2851" s="4" t="s">
        <v>7</v>
      </c>
      <c r="F2851" s="4" t="s">
        <v>982</v>
      </c>
    </row>
    <row r="2852" spans="1:6" x14ac:dyDescent="0.25">
      <c r="A2852" s="4" t="str">
        <f>CONCATENATE("3071-0000-7480","")</f>
        <v>3071-0000-7480</v>
      </c>
      <c r="B2852" s="4" t="s">
        <v>5139</v>
      </c>
      <c r="C2852" s="5">
        <v>41489</v>
      </c>
      <c r="D2852" s="5">
        <v>41549</v>
      </c>
      <c r="E2852" s="4" t="s">
        <v>1410</v>
      </c>
      <c r="F2852" s="4" t="s">
        <v>4616</v>
      </c>
    </row>
    <row r="2853" spans="1:6" x14ac:dyDescent="0.25">
      <c r="A2853" s="4" t="str">
        <f>CONCATENATE("3071-0000-2079","")</f>
        <v>3071-0000-2079</v>
      </c>
      <c r="B2853" s="4" t="s">
        <v>3462</v>
      </c>
      <c r="C2853" s="5">
        <v>41489</v>
      </c>
      <c r="D2853" s="5">
        <v>41549</v>
      </c>
      <c r="E2853" s="4" t="s">
        <v>2944</v>
      </c>
      <c r="F2853" s="4" t="s">
        <v>2945</v>
      </c>
    </row>
    <row r="2854" spans="1:6" x14ac:dyDescent="0.25">
      <c r="A2854" s="4" t="str">
        <f>CONCATENATE("3071-0000-1028","")</f>
        <v>3071-0000-1028</v>
      </c>
      <c r="B2854" s="4" t="s">
        <v>2012</v>
      </c>
      <c r="C2854" s="5">
        <v>41489</v>
      </c>
      <c r="D2854" s="5">
        <v>41549</v>
      </c>
      <c r="E2854" s="4" t="s">
        <v>1857</v>
      </c>
      <c r="F2854" s="4" t="s">
        <v>1857</v>
      </c>
    </row>
    <row r="2855" spans="1:6" x14ac:dyDescent="0.25">
      <c r="A2855" s="4" t="str">
        <f>CONCATENATE("3071-0000-7501","")</f>
        <v>3071-0000-7501</v>
      </c>
      <c r="B2855" s="4" t="s">
        <v>5137</v>
      </c>
      <c r="C2855" s="5">
        <v>41489</v>
      </c>
      <c r="D2855" s="5">
        <v>41549</v>
      </c>
      <c r="E2855" s="4" t="s">
        <v>1410</v>
      </c>
      <c r="F2855" s="4" t="s">
        <v>4616</v>
      </c>
    </row>
    <row r="2856" spans="1:6" x14ac:dyDescent="0.25">
      <c r="A2856" s="4" t="str">
        <f>CONCATENATE("3071-0000-8336","")</f>
        <v>3071-0000-8336</v>
      </c>
      <c r="B2856" s="4" t="s">
        <v>5866</v>
      </c>
      <c r="C2856" s="5">
        <v>41489</v>
      </c>
      <c r="D2856" s="5">
        <v>41549</v>
      </c>
      <c r="E2856" s="4" t="s">
        <v>5185</v>
      </c>
      <c r="F2856" s="4" t="s">
        <v>5185</v>
      </c>
    </row>
    <row r="2857" spans="1:6" x14ac:dyDescent="0.25">
      <c r="A2857" s="4" t="str">
        <f>CONCATENATE("3071-0000-0879","")</f>
        <v>3071-0000-0879</v>
      </c>
      <c r="B2857" s="4" t="s">
        <v>2013</v>
      </c>
      <c r="C2857" s="5">
        <v>41489</v>
      </c>
      <c r="D2857" s="5">
        <v>41549</v>
      </c>
      <c r="E2857" s="4" t="s">
        <v>1857</v>
      </c>
      <c r="F2857" s="4" t="s">
        <v>1857</v>
      </c>
    </row>
    <row r="2858" spans="1:6" x14ac:dyDescent="0.25">
      <c r="A2858" s="4" t="str">
        <f>CONCATENATE("3071-0000-7278","")</f>
        <v>3071-0000-7278</v>
      </c>
      <c r="B2858" s="4" t="s">
        <v>5134</v>
      </c>
      <c r="C2858" s="5">
        <v>41489</v>
      </c>
      <c r="D2858" s="5">
        <v>41549</v>
      </c>
      <c r="E2858" s="4" t="s">
        <v>1410</v>
      </c>
      <c r="F2858" s="4" t="s">
        <v>1410</v>
      </c>
    </row>
    <row r="2859" spans="1:6" x14ac:dyDescent="0.25">
      <c r="A2859" s="4" t="str">
        <f>CONCATENATE("3071-0000-9166","")</f>
        <v>3071-0000-9166</v>
      </c>
      <c r="B2859" s="4" t="s">
        <v>6175</v>
      </c>
      <c r="C2859" s="5">
        <v>41489</v>
      </c>
      <c r="D2859" s="5">
        <v>41549</v>
      </c>
      <c r="E2859" s="4" t="s">
        <v>5185</v>
      </c>
      <c r="F2859" s="4" t="s">
        <v>5945</v>
      </c>
    </row>
    <row r="2860" spans="1:6" x14ac:dyDescent="0.25">
      <c r="A2860" s="4" t="str">
        <f>CONCATENATE("3071-0000-8341","")</f>
        <v>3071-0000-8341</v>
      </c>
      <c r="B2860" s="4" t="s">
        <v>6042</v>
      </c>
      <c r="C2860" s="5">
        <v>41489</v>
      </c>
      <c r="D2860" s="5">
        <v>41549</v>
      </c>
      <c r="E2860" s="4" t="s">
        <v>5185</v>
      </c>
      <c r="F2860" s="4" t="s">
        <v>5185</v>
      </c>
    </row>
    <row r="2861" spans="1:6" x14ac:dyDescent="0.25">
      <c r="A2861" s="4" t="str">
        <f>CONCATENATE("3071-0000-1598","")</f>
        <v>3071-0000-1598</v>
      </c>
      <c r="B2861" s="4" t="s">
        <v>2859</v>
      </c>
      <c r="C2861" s="5">
        <v>41489</v>
      </c>
      <c r="D2861" s="5">
        <v>41549</v>
      </c>
      <c r="E2861" s="4" t="s">
        <v>1381</v>
      </c>
      <c r="F2861" s="4" t="s">
        <v>2303</v>
      </c>
    </row>
    <row r="2862" spans="1:6" x14ac:dyDescent="0.25">
      <c r="A2862" s="4" t="str">
        <f>CONCATENATE("3071-0000-8247","")</f>
        <v>3071-0000-8247</v>
      </c>
      <c r="B2862" s="4" t="s">
        <v>5707</v>
      </c>
      <c r="C2862" s="5">
        <v>41489</v>
      </c>
      <c r="D2862" s="5">
        <v>41549</v>
      </c>
      <c r="E2862" s="4" t="s">
        <v>5185</v>
      </c>
      <c r="F2862" s="4" t="s">
        <v>5185</v>
      </c>
    </row>
    <row r="2863" spans="1:6" x14ac:dyDescent="0.25">
      <c r="A2863" s="4" t="str">
        <f>CONCATENATE("3071-0000-3676","")</f>
        <v>3071-0000-3676</v>
      </c>
      <c r="B2863" s="4" t="s">
        <v>1585</v>
      </c>
      <c r="C2863" s="5">
        <v>41489</v>
      </c>
      <c r="D2863" s="5">
        <v>41549</v>
      </c>
      <c r="E2863" s="4" t="s">
        <v>1410</v>
      </c>
      <c r="F2863" s="4" t="s">
        <v>1411</v>
      </c>
    </row>
    <row r="2864" spans="1:6" x14ac:dyDescent="0.25">
      <c r="A2864" s="4" t="str">
        <f>CONCATENATE("3071-0000-8233","")</f>
        <v>3071-0000-8233</v>
      </c>
      <c r="B2864" s="4" t="s">
        <v>5729</v>
      </c>
      <c r="C2864" s="5">
        <v>41489</v>
      </c>
      <c r="D2864" s="5">
        <v>41549</v>
      </c>
      <c r="E2864" s="4" t="s">
        <v>5185</v>
      </c>
      <c r="F2864" s="4" t="s">
        <v>5185</v>
      </c>
    </row>
    <row r="2865" spans="1:6" x14ac:dyDescent="0.25">
      <c r="A2865" s="4" t="str">
        <f>CONCATENATE("3071-0000-8526","")</f>
        <v>3071-0000-8526</v>
      </c>
      <c r="B2865" s="4" t="s">
        <v>5294</v>
      </c>
      <c r="C2865" s="5">
        <v>41489</v>
      </c>
      <c r="D2865" s="5">
        <v>41549</v>
      </c>
      <c r="E2865" s="4" t="s">
        <v>5185</v>
      </c>
      <c r="F2865" s="4" t="s">
        <v>5292</v>
      </c>
    </row>
    <row r="2866" spans="1:6" x14ac:dyDescent="0.25">
      <c r="A2866" s="4" t="str">
        <f>CONCATENATE("3071-0000-1491","")</f>
        <v>3071-0000-1491</v>
      </c>
      <c r="B2866" s="4" t="s">
        <v>2830</v>
      </c>
      <c r="C2866" s="5">
        <v>41489</v>
      </c>
      <c r="D2866" s="5">
        <v>41549</v>
      </c>
      <c r="E2866" s="4" t="s">
        <v>1381</v>
      </c>
      <c r="F2866" s="4" t="s">
        <v>2303</v>
      </c>
    </row>
    <row r="2867" spans="1:6" x14ac:dyDescent="0.25">
      <c r="A2867" s="4" t="str">
        <f>CONCATENATE("3071-0000-3519","")</f>
        <v>3071-0000-3519</v>
      </c>
      <c r="B2867" s="4" t="s">
        <v>1840</v>
      </c>
      <c r="C2867" s="5">
        <v>41489</v>
      </c>
      <c r="D2867" s="5">
        <v>41549</v>
      </c>
      <c r="E2867" s="4" t="s">
        <v>1410</v>
      </c>
      <c r="F2867" s="4" t="s">
        <v>1411</v>
      </c>
    </row>
    <row r="2868" spans="1:6" x14ac:dyDescent="0.25">
      <c r="A2868" s="4" t="str">
        <f>CONCATENATE("3071-0000-5342","")</f>
        <v>3071-0000-5342</v>
      </c>
      <c r="B2868" s="4" t="s">
        <v>6841</v>
      </c>
      <c r="C2868" s="5">
        <v>41489</v>
      </c>
      <c r="D2868" s="5">
        <v>41549</v>
      </c>
      <c r="E2868" s="4" t="s">
        <v>5185</v>
      </c>
      <c r="F2868" s="4" t="s">
        <v>5185</v>
      </c>
    </row>
    <row r="2869" spans="1:6" x14ac:dyDescent="0.25">
      <c r="A2869" s="4" t="str">
        <f>CONCATENATE("3071-0000-5107","")</f>
        <v>3071-0000-5107</v>
      </c>
      <c r="B2869" s="4" t="s">
        <v>9567</v>
      </c>
      <c r="C2869" s="5">
        <v>41489</v>
      </c>
      <c r="D2869" s="5">
        <v>41549</v>
      </c>
      <c r="E2869" s="4" t="s">
        <v>7069</v>
      </c>
      <c r="F2869" s="4" t="s">
        <v>9485</v>
      </c>
    </row>
    <row r="2870" spans="1:6" x14ac:dyDescent="0.25">
      <c r="A2870" s="4" t="str">
        <f>CONCATENATE("3071-0000-7957","")</f>
        <v>3071-0000-7957</v>
      </c>
      <c r="B2870" s="4" t="s">
        <v>5595</v>
      </c>
      <c r="C2870" s="5">
        <v>41489</v>
      </c>
      <c r="D2870" s="5">
        <v>41549</v>
      </c>
      <c r="E2870" s="4" t="s">
        <v>5185</v>
      </c>
      <c r="F2870" s="4" t="s">
        <v>5185</v>
      </c>
    </row>
    <row r="2871" spans="1:6" x14ac:dyDescent="0.25">
      <c r="A2871" s="4" t="str">
        <f>CONCATENATE("3071-0000-7933","")</f>
        <v>3071-0000-7933</v>
      </c>
      <c r="B2871" s="4" t="s">
        <v>5562</v>
      </c>
      <c r="C2871" s="5">
        <v>41489</v>
      </c>
      <c r="D2871" s="5">
        <v>41549</v>
      </c>
      <c r="E2871" s="4" t="s">
        <v>5185</v>
      </c>
      <c r="F2871" s="4" t="s">
        <v>5185</v>
      </c>
    </row>
    <row r="2872" spans="1:6" x14ac:dyDescent="0.25">
      <c r="A2872" s="4" t="str">
        <f>CONCATENATE("3071-0000-7941","")</f>
        <v>3071-0000-7941</v>
      </c>
      <c r="B2872" s="4" t="s">
        <v>5574</v>
      </c>
      <c r="C2872" s="5">
        <v>41489</v>
      </c>
      <c r="D2872" s="5">
        <v>41549</v>
      </c>
      <c r="E2872" s="4" t="s">
        <v>5185</v>
      </c>
      <c r="F2872" s="4" t="s">
        <v>5185</v>
      </c>
    </row>
    <row r="2873" spans="1:6" x14ac:dyDescent="0.25">
      <c r="A2873" s="4" t="str">
        <f>CONCATENATE("3071-0000-3947","")</f>
        <v>3071-0000-3947</v>
      </c>
      <c r="B2873" s="4" t="s">
        <v>3936</v>
      </c>
      <c r="C2873" s="5">
        <v>41489</v>
      </c>
      <c r="D2873" s="5">
        <v>41549</v>
      </c>
      <c r="E2873" s="4" t="s">
        <v>2944</v>
      </c>
      <c r="F2873" s="4" t="s">
        <v>3513</v>
      </c>
    </row>
    <row r="2874" spans="1:6" x14ac:dyDescent="0.25">
      <c r="A2874" s="4" t="str">
        <f>CONCATENATE("3071-0000-8362","")</f>
        <v>3071-0000-8362</v>
      </c>
      <c r="B2874" s="4" t="s">
        <v>5492</v>
      </c>
      <c r="C2874" s="5">
        <v>41489</v>
      </c>
      <c r="D2874" s="5">
        <v>41549</v>
      </c>
      <c r="E2874" s="4" t="s">
        <v>5185</v>
      </c>
      <c r="F2874" s="4" t="s">
        <v>5185</v>
      </c>
    </row>
    <row r="2875" spans="1:6" x14ac:dyDescent="0.25">
      <c r="A2875" s="4" t="str">
        <f>CONCATENATE("3071-0000-8230","")</f>
        <v>3071-0000-8230</v>
      </c>
      <c r="B2875" s="4" t="s">
        <v>5723</v>
      </c>
      <c r="C2875" s="5">
        <v>41489</v>
      </c>
      <c r="D2875" s="5">
        <v>41549</v>
      </c>
      <c r="E2875" s="4" t="s">
        <v>5185</v>
      </c>
      <c r="F2875" s="4" t="s">
        <v>5185</v>
      </c>
    </row>
    <row r="2876" spans="1:6" x14ac:dyDescent="0.25">
      <c r="A2876" s="4" t="str">
        <f>CONCATENATE("3071-0000-3670","")</f>
        <v>3071-0000-3670</v>
      </c>
      <c r="B2876" s="4" t="s">
        <v>1681</v>
      </c>
      <c r="C2876" s="5">
        <v>41489</v>
      </c>
      <c r="D2876" s="5">
        <v>41549</v>
      </c>
      <c r="E2876" s="4" t="s">
        <v>1410</v>
      </c>
      <c r="F2876" s="4" t="s">
        <v>1601</v>
      </c>
    </row>
    <row r="2877" spans="1:6" x14ac:dyDescent="0.25">
      <c r="A2877" s="4" t="str">
        <f>CONCATENATE("3071-0000-4044","")</f>
        <v>3071-0000-4044</v>
      </c>
      <c r="B2877" s="4" t="s">
        <v>3977</v>
      </c>
      <c r="C2877" s="5">
        <v>41489</v>
      </c>
      <c r="D2877" s="5">
        <v>41549</v>
      </c>
      <c r="E2877" s="4" t="s">
        <v>7</v>
      </c>
      <c r="F2877" s="4" t="s">
        <v>1419</v>
      </c>
    </row>
    <row r="2878" spans="1:6" x14ac:dyDescent="0.25">
      <c r="A2878" s="4" t="str">
        <f>CONCATENATE("3071-0000-3587","")</f>
        <v>3071-0000-3587</v>
      </c>
      <c r="B2878" s="4" t="s">
        <v>1581</v>
      </c>
      <c r="C2878" s="5">
        <v>41489</v>
      </c>
      <c r="D2878" s="5">
        <v>41549</v>
      </c>
      <c r="E2878" s="4" t="s">
        <v>1410</v>
      </c>
      <c r="F2878" s="4" t="s">
        <v>1411</v>
      </c>
    </row>
    <row r="2879" spans="1:6" x14ac:dyDescent="0.25">
      <c r="A2879" s="4" t="str">
        <f>CONCATENATE("3071-0000-3769","")</f>
        <v>3071-0000-3769</v>
      </c>
      <c r="B2879" s="4" t="s">
        <v>1548</v>
      </c>
      <c r="C2879" s="5">
        <v>41489</v>
      </c>
      <c r="D2879" s="5">
        <v>41549</v>
      </c>
      <c r="E2879" s="4" t="s">
        <v>1410</v>
      </c>
      <c r="F2879" s="4" t="s">
        <v>1411</v>
      </c>
    </row>
    <row r="2880" spans="1:6" x14ac:dyDescent="0.25">
      <c r="A2880" s="4" t="str">
        <f>CONCATENATE("3071-0000-4517","")</f>
        <v>3071-0000-4517</v>
      </c>
      <c r="B2880" s="4" t="s">
        <v>9524</v>
      </c>
      <c r="C2880" s="5">
        <v>41489</v>
      </c>
      <c r="D2880" s="5">
        <v>41549</v>
      </c>
      <c r="E2880" s="4" t="s">
        <v>1410</v>
      </c>
      <c r="F2880" s="4" t="s">
        <v>8696</v>
      </c>
    </row>
    <row r="2881" spans="1:6" x14ac:dyDescent="0.25">
      <c r="A2881" s="4" t="str">
        <f>CONCATENATE("3071-0000-8184","")</f>
        <v>3071-0000-8184</v>
      </c>
      <c r="B2881" s="4" t="s">
        <v>5575</v>
      </c>
      <c r="C2881" s="5">
        <v>41489</v>
      </c>
      <c r="D2881" s="5">
        <v>41549</v>
      </c>
      <c r="E2881" s="4" t="s">
        <v>5185</v>
      </c>
      <c r="F2881" s="4" t="s">
        <v>5185</v>
      </c>
    </row>
    <row r="2882" spans="1:6" x14ac:dyDescent="0.25">
      <c r="A2882" s="4" t="str">
        <f>CONCATENATE("3071-0000-8560","")</f>
        <v>3071-0000-8560</v>
      </c>
      <c r="B2882" s="4" t="s">
        <v>5485</v>
      </c>
      <c r="C2882" s="5">
        <v>41489</v>
      </c>
      <c r="D2882" s="5">
        <v>41549</v>
      </c>
      <c r="E2882" s="4" t="s">
        <v>5185</v>
      </c>
      <c r="F2882" s="4" t="s">
        <v>5250</v>
      </c>
    </row>
    <row r="2883" spans="1:6" x14ac:dyDescent="0.25">
      <c r="A2883" s="4" t="str">
        <f>CONCATENATE("3071-0000-8236","")</f>
        <v>3071-0000-8236</v>
      </c>
      <c r="B2883" s="4" t="s">
        <v>5733</v>
      </c>
      <c r="C2883" s="5">
        <v>41489</v>
      </c>
      <c r="D2883" s="5">
        <v>41549</v>
      </c>
      <c r="E2883" s="4" t="s">
        <v>5185</v>
      </c>
      <c r="F2883" s="4" t="s">
        <v>5185</v>
      </c>
    </row>
    <row r="2884" spans="1:6" x14ac:dyDescent="0.25">
      <c r="A2884" s="4" t="str">
        <f>CONCATENATE("3071-0000-6498","")</f>
        <v>3071-0000-6498</v>
      </c>
      <c r="B2884" s="4" t="s">
        <v>7760</v>
      </c>
      <c r="C2884" s="5">
        <v>41489</v>
      </c>
      <c r="D2884" s="5">
        <v>41549</v>
      </c>
      <c r="E2884" s="4" t="s">
        <v>5185</v>
      </c>
      <c r="F2884" s="4" t="s">
        <v>5185</v>
      </c>
    </row>
    <row r="2885" spans="1:6" x14ac:dyDescent="0.25">
      <c r="A2885" s="4" t="str">
        <f>CONCATENATE("3071-0000-9058","")</f>
        <v>3071-0000-9058</v>
      </c>
      <c r="B2885" s="4" t="s">
        <v>5600</v>
      </c>
      <c r="C2885" s="5">
        <v>41489</v>
      </c>
      <c r="D2885" s="5">
        <v>41549</v>
      </c>
      <c r="E2885" s="4" t="s">
        <v>5185</v>
      </c>
      <c r="F2885" s="4" t="s">
        <v>5250</v>
      </c>
    </row>
    <row r="2886" spans="1:6" x14ac:dyDescent="0.25">
      <c r="A2886" s="4" t="str">
        <f>CONCATENATE("3071-0000-9218","")</f>
        <v>3071-0000-9218</v>
      </c>
      <c r="B2886" s="4" t="s">
        <v>8317</v>
      </c>
      <c r="C2886" s="5">
        <v>41489</v>
      </c>
      <c r="D2886" s="5">
        <v>41549</v>
      </c>
      <c r="E2886" s="4" t="s">
        <v>5185</v>
      </c>
      <c r="F2886" s="4" t="s">
        <v>5185</v>
      </c>
    </row>
    <row r="2887" spans="1:6" x14ac:dyDescent="0.25">
      <c r="A2887" s="4" t="str">
        <f>CONCATENATE("3071-0000-7885","")</f>
        <v>3071-0000-7885</v>
      </c>
      <c r="B2887" s="4" t="s">
        <v>5198</v>
      </c>
      <c r="C2887" s="5">
        <v>41489</v>
      </c>
      <c r="D2887" s="5">
        <v>41549</v>
      </c>
      <c r="E2887" s="4" t="s">
        <v>5185</v>
      </c>
      <c r="F2887" s="4" t="s">
        <v>5185</v>
      </c>
    </row>
    <row r="2888" spans="1:6" x14ac:dyDescent="0.25">
      <c r="A2888" s="4" t="str">
        <f>CONCATENATE("3071-0000-9082","")</f>
        <v>3071-0000-9082</v>
      </c>
      <c r="B2888" s="4" t="s">
        <v>5257</v>
      </c>
      <c r="C2888" s="5">
        <v>41489</v>
      </c>
      <c r="D2888" s="5">
        <v>41549</v>
      </c>
      <c r="E2888" s="4" t="s">
        <v>5185</v>
      </c>
      <c r="F2888" s="4" t="s">
        <v>5185</v>
      </c>
    </row>
    <row r="2889" spans="1:6" x14ac:dyDescent="0.25">
      <c r="A2889" s="4" t="str">
        <f>CONCATENATE("3071-0000-8315","")</f>
        <v>3071-0000-8315</v>
      </c>
      <c r="B2889" s="4" t="s">
        <v>5840</v>
      </c>
      <c r="C2889" s="5">
        <v>41489</v>
      </c>
      <c r="D2889" s="5">
        <v>41549</v>
      </c>
      <c r="E2889" s="4" t="s">
        <v>5185</v>
      </c>
      <c r="F2889" s="4" t="s">
        <v>5185</v>
      </c>
    </row>
    <row r="2890" spans="1:6" x14ac:dyDescent="0.25">
      <c r="A2890" s="4" t="str">
        <f>CONCATENATE("3071-0000-8569","")</f>
        <v>3071-0000-8569</v>
      </c>
      <c r="B2890" s="4" t="s">
        <v>5744</v>
      </c>
      <c r="C2890" s="5">
        <v>41489</v>
      </c>
      <c r="D2890" s="5">
        <v>41549</v>
      </c>
      <c r="E2890" s="4" t="s">
        <v>5185</v>
      </c>
      <c r="F2890" s="4" t="s">
        <v>5250</v>
      </c>
    </row>
    <row r="2891" spans="1:6" x14ac:dyDescent="0.25">
      <c r="A2891" s="4" t="str">
        <f>CONCATENATE("3071-0000-4054","")</f>
        <v>3071-0000-4054</v>
      </c>
      <c r="B2891" s="4" t="s">
        <v>3981</v>
      </c>
      <c r="C2891" s="5">
        <v>41489</v>
      </c>
      <c r="D2891" s="5">
        <v>41549</v>
      </c>
      <c r="E2891" s="4" t="s">
        <v>7</v>
      </c>
      <c r="F2891" s="4" t="s">
        <v>1419</v>
      </c>
    </row>
    <row r="2892" spans="1:6" x14ac:dyDescent="0.25">
      <c r="A2892" s="4" t="str">
        <f>CONCATENATE("3071-0000-9198","")</f>
        <v>3071-0000-9198</v>
      </c>
      <c r="B2892" s="4" t="s">
        <v>5519</v>
      </c>
      <c r="C2892" s="5">
        <v>41489</v>
      </c>
      <c r="D2892" s="5">
        <v>41549</v>
      </c>
      <c r="E2892" s="4" t="s">
        <v>5185</v>
      </c>
      <c r="F2892" s="4" t="s">
        <v>5250</v>
      </c>
    </row>
    <row r="2893" spans="1:6" x14ac:dyDescent="0.25">
      <c r="A2893" s="4" t="str">
        <f>CONCATENATE("3071-0000-3598","")</f>
        <v>3071-0000-3598</v>
      </c>
      <c r="B2893" s="4" t="s">
        <v>1580</v>
      </c>
      <c r="C2893" s="5">
        <v>41489</v>
      </c>
      <c r="D2893" s="5">
        <v>41549</v>
      </c>
      <c r="E2893" s="4" t="s">
        <v>1410</v>
      </c>
      <c r="F2893" s="4" t="s">
        <v>1411</v>
      </c>
    </row>
    <row r="2894" spans="1:6" x14ac:dyDescent="0.25">
      <c r="A2894" s="4" t="str">
        <f>CONCATENATE("3071-0000-4052","")</f>
        <v>3071-0000-4052</v>
      </c>
      <c r="B2894" s="4" t="s">
        <v>3971</v>
      </c>
      <c r="C2894" s="5">
        <v>41489</v>
      </c>
      <c r="D2894" s="5">
        <v>41549</v>
      </c>
      <c r="E2894" s="4" t="s">
        <v>7</v>
      </c>
      <c r="F2894" s="4" t="s">
        <v>1419</v>
      </c>
    </row>
    <row r="2895" spans="1:6" x14ac:dyDescent="0.25">
      <c r="A2895" s="4" t="str">
        <f>CONCATENATE("3071-0000-3849","")</f>
        <v>3071-0000-3849</v>
      </c>
      <c r="B2895" s="4" t="s">
        <v>3905</v>
      </c>
      <c r="C2895" s="5">
        <v>41489</v>
      </c>
      <c r="D2895" s="5">
        <v>41549</v>
      </c>
      <c r="E2895" s="4" t="s">
        <v>2944</v>
      </c>
      <c r="F2895" s="4" t="s">
        <v>3513</v>
      </c>
    </row>
    <row r="2896" spans="1:6" x14ac:dyDescent="0.25">
      <c r="A2896" s="4" t="str">
        <f>CONCATENATE("3071-0000-4049","")</f>
        <v>3071-0000-4049</v>
      </c>
      <c r="B2896" s="4" t="s">
        <v>3991</v>
      </c>
      <c r="C2896" s="5">
        <v>41489</v>
      </c>
      <c r="D2896" s="5">
        <v>41549</v>
      </c>
      <c r="E2896" s="4" t="s">
        <v>7</v>
      </c>
      <c r="F2896" s="4" t="s">
        <v>1419</v>
      </c>
    </row>
    <row r="2897" spans="1:6" x14ac:dyDescent="0.25">
      <c r="A2897" s="4" t="str">
        <f>CONCATENATE("3071-0000-6435","")</f>
        <v>3071-0000-6435</v>
      </c>
      <c r="B2897" s="4" t="s">
        <v>8142</v>
      </c>
      <c r="C2897" s="5">
        <v>41489</v>
      </c>
      <c r="D2897" s="5">
        <v>41549</v>
      </c>
      <c r="E2897" s="4" t="s">
        <v>5185</v>
      </c>
      <c r="F2897" s="4" t="s">
        <v>5185</v>
      </c>
    </row>
    <row r="2898" spans="1:6" x14ac:dyDescent="0.25">
      <c r="A2898" s="4" t="str">
        <f>CONCATENATE("3071-0000-7463","")</f>
        <v>3071-0000-7463</v>
      </c>
      <c r="B2898" s="4" t="s">
        <v>4848</v>
      </c>
      <c r="C2898" s="5">
        <v>41489</v>
      </c>
      <c r="D2898" s="5">
        <v>41549</v>
      </c>
      <c r="E2898" s="4" t="s">
        <v>1410</v>
      </c>
      <c r="F2898" s="4" t="s">
        <v>4655</v>
      </c>
    </row>
    <row r="2899" spans="1:6" x14ac:dyDescent="0.25">
      <c r="A2899" s="4" t="str">
        <f>CONCATENATE("3071-0000-6975","")</f>
        <v>3071-0000-6975</v>
      </c>
      <c r="B2899" s="4" t="s">
        <v>4277</v>
      </c>
      <c r="C2899" s="5">
        <v>41489</v>
      </c>
      <c r="D2899" s="5">
        <v>41549</v>
      </c>
      <c r="E2899" s="4" t="s">
        <v>1410</v>
      </c>
      <c r="F2899" s="4" t="s">
        <v>1410</v>
      </c>
    </row>
    <row r="2900" spans="1:6" x14ac:dyDescent="0.25">
      <c r="A2900" s="4" t="str">
        <f>CONCATENATE("3071-0000-6541","")</f>
        <v>3071-0000-6541</v>
      </c>
      <c r="B2900" s="4" t="s">
        <v>7762</v>
      </c>
      <c r="C2900" s="5">
        <v>41489</v>
      </c>
      <c r="D2900" s="5">
        <v>41549</v>
      </c>
      <c r="E2900" s="4" t="s">
        <v>5185</v>
      </c>
      <c r="F2900" s="4" t="s">
        <v>5185</v>
      </c>
    </row>
    <row r="2901" spans="1:6" x14ac:dyDescent="0.25">
      <c r="A2901" s="4" t="str">
        <f>CONCATENATE("3071-0000-8348","")</f>
        <v>3071-0000-8348</v>
      </c>
      <c r="B2901" s="4" t="s">
        <v>5714</v>
      </c>
      <c r="C2901" s="5">
        <v>41489</v>
      </c>
      <c r="D2901" s="5">
        <v>41549</v>
      </c>
      <c r="E2901" s="4" t="s">
        <v>5185</v>
      </c>
      <c r="F2901" s="4" t="s">
        <v>5185</v>
      </c>
    </row>
    <row r="2902" spans="1:6" x14ac:dyDescent="0.25">
      <c r="A2902" s="4" t="str">
        <f>CONCATENATE("3071-0000-6098","")</f>
        <v>3071-0000-6098</v>
      </c>
      <c r="B2902" s="4" t="s">
        <v>7697</v>
      </c>
      <c r="C2902" s="5">
        <v>41489</v>
      </c>
      <c r="D2902" s="5">
        <v>41549</v>
      </c>
      <c r="E2902" s="4" t="s">
        <v>1410</v>
      </c>
      <c r="F2902" s="4" t="s">
        <v>1410</v>
      </c>
    </row>
    <row r="2903" spans="1:6" x14ac:dyDescent="0.25">
      <c r="A2903" s="4" t="str">
        <f>CONCATENATE("3071-0000-6097","")</f>
        <v>3071-0000-6097</v>
      </c>
      <c r="B2903" s="4" t="s">
        <v>7725</v>
      </c>
      <c r="C2903" s="5">
        <v>41489</v>
      </c>
      <c r="D2903" s="5">
        <v>41549</v>
      </c>
      <c r="E2903" s="4" t="s">
        <v>1410</v>
      </c>
      <c r="F2903" s="4" t="s">
        <v>1410</v>
      </c>
    </row>
    <row r="2904" spans="1:6" x14ac:dyDescent="0.25">
      <c r="A2904" s="4" t="str">
        <f>CONCATENATE("3071-0000-8397","")</f>
        <v>3071-0000-8397</v>
      </c>
      <c r="B2904" s="4" t="s">
        <v>5940</v>
      </c>
      <c r="C2904" s="5">
        <v>41489</v>
      </c>
      <c r="D2904" s="5">
        <v>41549</v>
      </c>
      <c r="E2904" s="4" t="s">
        <v>5185</v>
      </c>
      <c r="F2904" s="4" t="s">
        <v>5185</v>
      </c>
    </row>
    <row r="2905" spans="1:6" x14ac:dyDescent="0.25">
      <c r="A2905" s="4" t="str">
        <f>CONCATENATE("3071-0000-4036","")</f>
        <v>3071-0000-4036</v>
      </c>
      <c r="B2905" s="4" t="s">
        <v>4239</v>
      </c>
      <c r="C2905" s="5">
        <v>41489</v>
      </c>
      <c r="D2905" s="5">
        <v>41549</v>
      </c>
      <c r="E2905" s="4" t="s">
        <v>7</v>
      </c>
      <c r="F2905" s="4" t="s">
        <v>1419</v>
      </c>
    </row>
    <row r="2906" spans="1:6" x14ac:dyDescent="0.25">
      <c r="A2906" s="4" t="str">
        <f>CONCATENATE("3071-0000-4323","")</f>
        <v>3071-0000-4323</v>
      </c>
      <c r="B2906" s="4" t="s">
        <v>8933</v>
      </c>
      <c r="C2906" s="5">
        <v>41489</v>
      </c>
      <c r="D2906" s="5">
        <v>41549</v>
      </c>
      <c r="E2906" s="4" t="s">
        <v>1410</v>
      </c>
      <c r="F2906" s="4" t="s">
        <v>8696</v>
      </c>
    </row>
    <row r="2907" spans="1:6" x14ac:dyDescent="0.25">
      <c r="A2907" s="4" t="str">
        <f>CONCATENATE("3071-0000-6105","")</f>
        <v>3071-0000-6105</v>
      </c>
      <c r="B2907" s="4" t="s">
        <v>7695</v>
      </c>
      <c r="C2907" s="5">
        <v>41489</v>
      </c>
      <c r="D2907" s="5">
        <v>41549</v>
      </c>
      <c r="E2907" s="4" t="s">
        <v>1410</v>
      </c>
      <c r="F2907" s="4" t="s">
        <v>1410</v>
      </c>
    </row>
    <row r="2908" spans="1:6" x14ac:dyDescent="0.25">
      <c r="A2908" s="4" t="str">
        <f>CONCATENATE("3071-0000-6146","")</f>
        <v>3071-0000-6146</v>
      </c>
      <c r="B2908" s="4" t="s">
        <v>7699</v>
      </c>
      <c r="C2908" s="5">
        <v>41489</v>
      </c>
      <c r="D2908" s="5">
        <v>41549</v>
      </c>
      <c r="E2908" s="4" t="s">
        <v>1410</v>
      </c>
      <c r="F2908" s="4" t="s">
        <v>1410</v>
      </c>
    </row>
    <row r="2909" spans="1:6" x14ac:dyDescent="0.25">
      <c r="A2909" s="4" t="str">
        <f>CONCATENATE("3071-0000-3411","")</f>
        <v>3071-0000-3411</v>
      </c>
      <c r="B2909" s="4" t="s">
        <v>1576</v>
      </c>
      <c r="C2909" s="5">
        <v>41489</v>
      </c>
      <c r="D2909" s="5">
        <v>41549</v>
      </c>
      <c r="E2909" s="4" t="s">
        <v>1410</v>
      </c>
      <c r="F2909" s="4" t="s">
        <v>1411</v>
      </c>
    </row>
    <row r="2910" spans="1:6" x14ac:dyDescent="0.25">
      <c r="A2910" s="4" t="str">
        <f>CONCATENATE("3071-0000-3847","")</f>
        <v>3071-0000-3847</v>
      </c>
      <c r="B2910" s="4" t="s">
        <v>3920</v>
      </c>
      <c r="C2910" s="5">
        <v>41489</v>
      </c>
      <c r="D2910" s="5">
        <v>41549</v>
      </c>
      <c r="E2910" s="4" t="s">
        <v>7</v>
      </c>
      <c r="F2910" s="4" t="s">
        <v>1419</v>
      </c>
    </row>
    <row r="2911" spans="1:6" x14ac:dyDescent="0.25">
      <c r="A2911" s="4" t="str">
        <f>CONCATENATE("3071-0000-0284","")</f>
        <v>3071-0000-0284</v>
      </c>
      <c r="B2911" s="4" t="s">
        <v>676</v>
      </c>
      <c r="C2911" s="5">
        <v>41489</v>
      </c>
      <c r="D2911" s="5">
        <v>41549</v>
      </c>
      <c r="E2911" s="4" t="s">
        <v>7</v>
      </c>
      <c r="F2911" s="4" t="s">
        <v>7</v>
      </c>
    </row>
    <row r="2912" spans="1:6" x14ac:dyDescent="0.25">
      <c r="A2912" s="4" t="str">
        <f>CONCATENATE("3071-0000-1184","")</f>
        <v>3071-0000-1184</v>
      </c>
      <c r="B2912" s="4" t="s">
        <v>1873</v>
      </c>
      <c r="C2912" s="5">
        <v>41489</v>
      </c>
      <c r="D2912" s="5">
        <v>41549</v>
      </c>
      <c r="E2912" s="4" t="s">
        <v>1857</v>
      </c>
      <c r="F2912" s="4" t="s">
        <v>1857</v>
      </c>
    </row>
    <row r="2913" spans="1:6" x14ac:dyDescent="0.25">
      <c r="A2913" s="4" t="str">
        <f>CONCATENATE("3071-0000-1895","")</f>
        <v>3071-0000-1895</v>
      </c>
      <c r="B2913" s="4" t="s">
        <v>2977</v>
      </c>
      <c r="C2913" s="5">
        <v>41489</v>
      </c>
      <c r="D2913" s="5">
        <v>41549</v>
      </c>
      <c r="E2913" s="4" t="s">
        <v>2944</v>
      </c>
      <c r="F2913" s="4" t="s">
        <v>2945</v>
      </c>
    </row>
    <row r="2914" spans="1:6" x14ac:dyDescent="0.25">
      <c r="A2914" s="4" t="str">
        <f>CONCATENATE("3071-0000-5305","")</f>
        <v>3071-0000-5305</v>
      </c>
      <c r="B2914" s="4" t="s">
        <v>6742</v>
      </c>
      <c r="C2914" s="5">
        <v>41489</v>
      </c>
      <c r="D2914" s="5">
        <v>41549</v>
      </c>
      <c r="E2914" s="4" t="s">
        <v>5185</v>
      </c>
      <c r="F2914" s="4" t="s">
        <v>5185</v>
      </c>
    </row>
    <row r="2915" spans="1:6" x14ac:dyDescent="0.25">
      <c r="A2915" s="4" t="str">
        <f>CONCATENATE("3071-0000-9102","")</f>
        <v>3071-0000-9102</v>
      </c>
      <c r="B2915" s="4" t="s">
        <v>5261</v>
      </c>
      <c r="C2915" s="5">
        <v>41489</v>
      </c>
      <c r="D2915" s="5">
        <v>41549</v>
      </c>
      <c r="E2915" s="4" t="s">
        <v>5185</v>
      </c>
      <c r="F2915" s="4" t="s">
        <v>5185</v>
      </c>
    </row>
    <row r="2916" spans="1:6" x14ac:dyDescent="0.25">
      <c r="A2916" s="4" t="str">
        <f>CONCATENATE("3071-0000-8357","")</f>
        <v>3071-0000-8357</v>
      </c>
      <c r="B2916" s="4" t="s">
        <v>5246</v>
      </c>
      <c r="C2916" s="5">
        <v>41489</v>
      </c>
      <c r="D2916" s="5">
        <v>41549</v>
      </c>
      <c r="E2916" s="4" t="s">
        <v>5185</v>
      </c>
      <c r="F2916" s="4" t="s">
        <v>5185</v>
      </c>
    </row>
    <row r="2917" spans="1:6" x14ac:dyDescent="0.25">
      <c r="A2917" s="4" t="str">
        <f>CONCATENATE("3071-0000-0623","")</f>
        <v>3071-0000-0623</v>
      </c>
      <c r="B2917" s="4" t="s">
        <v>776</v>
      </c>
      <c r="C2917" s="5">
        <v>41489</v>
      </c>
      <c r="D2917" s="5">
        <v>41549</v>
      </c>
      <c r="E2917" s="4" t="s">
        <v>7</v>
      </c>
      <c r="F2917" s="4" t="s">
        <v>7</v>
      </c>
    </row>
    <row r="2918" spans="1:6" x14ac:dyDescent="0.25">
      <c r="A2918" s="4" t="str">
        <f>CONCATENATE("3071-0000-8490","")</f>
        <v>3071-0000-8490</v>
      </c>
      <c r="B2918" s="4" t="s">
        <v>6109</v>
      </c>
      <c r="C2918" s="5">
        <v>41489</v>
      </c>
      <c r="D2918" s="5">
        <v>41549</v>
      </c>
      <c r="E2918" s="4" t="s">
        <v>5185</v>
      </c>
      <c r="F2918" s="4" t="s">
        <v>5945</v>
      </c>
    </row>
    <row r="2919" spans="1:6" x14ac:dyDescent="0.25">
      <c r="A2919" s="4" t="str">
        <f>CONCATENATE("3071-0000-8364","")</f>
        <v>3071-0000-8364</v>
      </c>
      <c r="B2919" s="4" t="s">
        <v>5237</v>
      </c>
      <c r="C2919" s="5">
        <v>41489</v>
      </c>
      <c r="D2919" s="5">
        <v>41549</v>
      </c>
      <c r="E2919" s="4" t="s">
        <v>5185</v>
      </c>
      <c r="F2919" s="4" t="s">
        <v>5185</v>
      </c>
    </row>
    <row r="2920" spans="1:6" x14ac:dyDescent="0.25">
      <c r="A2920" s="4" t="str">
        <f>CONCATENATE("3071-0000-0297","")</f>
        <v>3071-0000-0297</v>
      </c>
      <c r="B2920" s="4" t="s">
        <v>508</v>
      </c>
      <c r="C2920" s="5">
        <v>41489</v>
      </c>
      <c r="D2920" s="5">
        <v>41549</v>
      </c>
      <c r="E2920" s="4" t="s">
        <v>7</v>
      </c>
      <c r="F2920" s="4" t="s">
        <v>7</v>
      </c>
    </row>
    <row r="2921" spans="1:6" x14ac:dyDescent="0.25">
      <c r="A2921" s="4" t="str">
        <f>CONCATENATE("3071-0000-4201","")</f>
        <v>3071-0000-4201</v>
      </c>
      <c r="B2921" s="4" t="s">
        <v>4242</v>
      </c>
      <c r="C2921" s="5">
        <v>41489</v>
      </c>
      <c r="D2921" s="5">
        <v>41549</v>
      </c>
      <c r="E2921" s="4" t="s">
        <v>7</v>
      </c>
      <c r="F2921" s="4" t="s">
        <v>1419</v>
      </c>
    </row>
    <row r="2922" spans="1:6" x14ac:dyDescent="0.25">
      <c r="A2922" s="4" t="str">
        <f>CONCATENATE("3071-0000-4166","")</f>
        <v>3071-0000-4166</v>
      </c>
      <c r="B2922" s="4" t="s">
        <v>4223</v>
      </c>
      <c r="C2922" s="5">
        <v>41489</v>
      </c>
      <c r="D2922" s="5">
        <v>41549</v>
      </c>
      <c r="E2922" s="4" t="s">
        <v>7</v>
      </c>
      <c r="F2922" s="4" t="s">
        <v>1419</v>
      </c>
    </row>
    <row r="2923" spans="1:6" x14ac:dyDescent="0.25">
      <c r="A2923" s="4" t="str">
        <f>CONCATENATE("3071-0000-0794","")</f>
        <v>3071-0000-0794</v>
      </c>
      <c r="B2923" s="4" t="s">
        <v>462</v>
      </c>
      <c r="C2923" s="5">
        <v>41489</v>
      </c>
      <c r="D2923" s="5">
        <v>41549</v>
      </c>
      <c r="E2923" s="4" t="s">
        <v>7</v>
      </c>
      <c r="F2923" s="4" t="s">
        <v>7</v>
      </c>
    </row>
    <row r="2924" spans="1:6" x14ac:dyDescent="0.25">
      <c r="A2924" s="4" t="str">
        <f>CONCATENATE("3071-0000-0941","")</f>
        <v>3071-0000-0941</v>
      </c>
      <c r="B2924" s="4" t="s">
        <v>2125</v>
      </c>
      <c r="C2924" s="5">
        <v>41489</v>
      </c>
      <c r="D2924" s="5">
        <v>41549</v>
      </c>
      <c r="E2924" s="4" t="s">
        <v>1857</v>
      </c>
      <c r="F2924" s="4" t="s">
        <v>1857</v>
      </c>
    </row>
    <row r="2925" spans="1:6" x14ac:dyDescent="0.25">
      <c r="A2925" s="4" t="str">
        <f>CONCATENATE("3071-0000-0923","")</f>
        <v>3071-0000-0923</v>
      </c>
      <c r="B2925" s="4" t="s">
        <v>2118</v>
      </c>
      <c r="C2925" s="5">
        <v>41489</v>
      </c>
      <c r="D2925" s="5">
        <v>41549</v>
      </c>
      <c r="E2925" s="4" t="s">
        <v>1857</v>
      </c>
      <c r="F2925" s="4" t="s">
        <v>1857</v>
      </c>
    </row>
    <row r="2926" spans="1:6" x14ac:dyDescent="0.25">
      <c r="A2926" s="4" t="str">
        <f>CONCATENATE("3071-0000-0995","")</f>
        <v>3071-0000-0995</v>
      </c>
      <c r="B2926" s="4" t="s">
        <v>2115</v>
      </c>
      <c r="C2926" s="5">
        <v>41489</v>
      </c>
      <c r="D2926" s="5">
        <v>41549</v>
      </c>
      <c r="E2926" s="4" t="s">
        <v>1857</v>
      </c>
      <c r="F2926" s="4" t="s">
        <v>1857</v>
      </c>
    </row>
    <row r="2927" spans="1:6" x14ac:dyDescent="0.25">
      <c r="A2927" s="4" t="str">
        <f>CONCATENATE("3071-0000-1137","")</f>
        <v>3071-0000-1137</v>
      </c>
      <c r="B2927" s="4" t="s">
        <v>2110</v>
      </c>
      <c r="C2927" s="5">
        <v>41489</v>
      </c>
      <c r="D2927" s="5">
        <v>41549</v>
      </c>
      <c r="E2927" s="4" t="s">
        <v>1857</v>
      </c>
      <c r="F2927" s="4" t="s">
        <v>2108</v>
      </c>
    </row>
    <row r="2928" spans="1:6" x14ac:dyDescent="0.25">
      <c r="A2928" s="4" t="str">
        <f>CONCATENATE("3071-0000-0057","")</f>
        <v>3071-0000-0057</v>
      </c>
      <c r="B2928" s="4" t="s">
        <v>657</v>
      </c>
      <c r="C2928" s="5">
        <v>41489</v>
      </c>
      <c r="D2928" s="5">
        <v>41549</v>
      </c>
      <c r="E2928" s="4" t="s">
        <v>7</v>
      </c>
      <c r="F2928" s="4" t="s">
        <v>7</v>
      </c>
    </row>
    <row r="2929" spans="1:6" x14ac:dyDescent="0.25">
      <c r="A2929" s="4" t="str">
        <f>CONCATENATE("3071-0000-2856","")</f>
        <v>3071-0000-2856</v>
      </c>
      <c r="B2929" s="4" t="s">
        <v>1359</v>
      </c>
      <c r="C2929" s="5">
        <v>41489</v>
      </c>
      <c r="D2929" s="5">
        <v>41549</v>
      </c>
      <c r="E2929" s="4" t="s">
        <v>7</v>
      </c>
      <c r="F2929" s="4" t="s">
        <v>808</v>
      </c>
    </row>
    <row r="2930" spans="1:6" x14ac:dyDescent="0.25">
      <c r="A2930" s="4" t="str">
        <f>CONCATENATE("3071-0000-3153","")</f>
        <v>3071-0000-3153</v>
      </c>
      <c r="B2930" s="4" t="s">
        <v>1319</v>
      </c>
      <c r="C2930" s="5">
        <v>41489</v>
      </c>
      <c r="D2930" s="5">
        <v>41549</v>
      </c>
      <c r="E2930" s="4" t="s">
        <v>7</v>
      </c>
      <c r="F2930" s="4" t="s">
        <v>808</v>
      </c>
    </row>
    <row r="2931" spans="1:6" x14ac:dyDescent="0.25">
      <c r="A2931" s="4" t="str">
        <f>CONCATENATE("3071-0000-2877","")</f>
        <v>3071-0000-2877</v>
      </c>
      <c r="B2931" s="4" t="s">
        <v>1369</v>
      </c>
      <c r="C2931" s="5">
        <v>41489</v>
      </c>
      <c r="D2931" s="5">
        <v>41549</v>
      </c>
      <c r="E2931" s="4" t="s">
        <v>7</v>
      </c>
      <c r="F2931" s="4" t="s">
        <v>808</v>
      </c>
    </row>
    <row r="2932" spans="1:6" x14ac:dyDescent="0.25">
      <c r="A2932" s="4" t="str">
        <f>CONCATENATE("3071-0000-7520","")</f>
        <v>3071-0000-7520</v>
      </c>
      <c r="B2932" s="4" t="s">
        <v>4535</v>
      </c>
      <c r="C2932" s="5">
        <v>41489</v>
      </c>
      <c r="D2932" s="5">
        <v>41549</v>
      </c>
      <c r="E2932" s="4" t="s">
        <v>1410</v>
      </c>
      <c r="F2932" s="4" t="s">
        <v>1410</v>
      </c>
    </row>
    <row r="2933" spans="1:6" x14ac:dyDescent="0.25">
      <c r="A2933" s="4" t="str">
        <f>CONCATENATE("3071-0000-0713","")</f>
        <v>3071-0000-0713</v>
      </c>
      <c r="B2933" s="4" t="s">
        <v>496</v>
      </c>
      <c r="C2933" s="5">
        <v>41489</v>
      </c>
      <c r="D2933" s="5">
        <v>41549</v>
      </c>
      <c r="E2933" s="4" t="s">
        <v>7</v>
      </c>
      <c r="F2933" s="4" t="s">
        <v>7</v>
      </c>
    </row>
    <row r="2934" spans="1:6" x14ac:dyDescent="0.25">
      <c r="A2934" s="4" t="str">
        <f>CONCATENATE("3071-0000-2898","")</f>
        <v>3071-0000-2898</v>
      </c>
      <c r="B2934" s="4" t="s">
        <v>1397</v>
      </c>
      <c r="C2934" s="5">
        <v>41489</v>
      </c>
      <c r="D2934" s="5">
        <v>41549</v>
      </c>
      <c r="E2934" s="4" t="s">
        <v>7</v>
      </c>
      <c r="F2934" s="4" t="s">
        <v>808</v>
      </c>
    </row>
    <row r="2935" spans="1:6" x14ac:dyDescent="0.25">
      <c r="A2935" s="4" t="str">
        <f>CONCATENATE("3071-0000-4246","")</f>
        <v>3071-0000-4246</v>
      </c>
      <c r="B2935" s="4" t="s">
        <v>9013</v>
      </c>
      <c r="C2935" s="5">
        <v>41489</v>
      </c>
      <c r="D2935" s="5">
        <v>41549</v>
      </c>
      <c r="E2935" s="4" t="s">
        <v>1410</v>
      </c>
      <c r="F2935" s="4" t="s">
        <v>8696</v>
      </c>
    </row>
    <row r="2936" spans="1:6" x14ac:dyDescent="0.25">
      <c r="A2936" s="4" t="str">
        <f>CONCATENATE("3071-0000-0020","")</f>
        <v>3071-0000-0020</v>
      </c>
      <c r="B2936" s="4" t="s">
        <v>37</v>
      </c>
      <c r="C2936" s="5">
        <v>41489</v>
      </c>
      <c r="D2936" s="5">
        <v>41549</v>
      </c>
      <c r="E2936" s="4" t="s">
        <v>7</v>
      </c>
      <c r="F2936" s="4" t="s">
        <v>7</v>
      </c>
    </row>
    <row r="2937" spans="1:6" x14ac:dyDescent="0.25">
      <c r="A2937" s="4" t="str">
        <f>CONCATENATE("3071-0000-3214","")</f>
        <v>3071-0000-3214</v>
      </c>
      <c r="B2937" s="4" t="s">
        <v>1152</v>
      </c>
      <c r="C2937" s="5">
        <v>41489</v>
      </c>
      <c r="D2937" s="5">
        <v>41549</v>
      </c>
      <c r="E2937" s="4" t="s">
        <v>7</v>
      </c>
      <c r="F2937" s="4" t="s">
        <v>808</v>
      </c>
    </row>
    <row r="2938" spans="1:6" x14ac:dyDescent="0.25">
      <c r="A2938" s="4" t="str">
        <f>CONCATENATE("3071-0000-3224","")</f>
        <v>3071-0000-3224</v>
      </c>
      <c r="B2938" s="4" t="s">
        <v>1155</v>
      </c>
      <c r="C2938" s="5">
        <v>41489</v>
      </c>
      <c r="D2938" s="5">
        <v>41549</v>
      </c>
      <c r="E2938" s="4" t="s">
        <v>7</v>
      </c>
      <c r="F2938" s="4" t="s">
        <v>808</v>
      </c>
    </row>
    <row r="2939" spans="1:6" x14ac:dyDescent="0.25">
      <c r="A2939" s="4" t="str">
        <f>CONCATENATE("3071-0000-3090","")</f>
        <v>3071-0000-3090</v>
      </c>
      <c r="B2939" s="4" t="s">
        <v>1154</v>
      </c>
      <c r="C2939" s="5">
        <v>41489</v>
      </c>
      <c r="D2939" s="5">
        <v>41549</v>
      </c>
      <c r="E2939" s="4" t="s">
        <v>7</v>
      </c>
      <c r="F2939" s="4" t="s">
        <v>808</v>
      </c>
    </row>
    <row r="2940" spans="1:6" x14ac:dyDescent="0.25">
      <c r="A2940" s="4" t="str">
        <f>CONCATENATE("3071-0000-0216","")</f>
        <v>3071-0000-0216</v>
      </c>
      <c r="B2940" s="4" t="s">
        <v>464</v>
      </c>
      <c r="C2940" s="5">
        <v>41489</v>
      </c>
      <c r="D2940" s="5">
        <v>41549</v>
      </c>
      <c r="E2940" s="4" t="s">
        <v>7</v>
      </c>
      <c r="F2940" s="4" t="s">
        <v>7</v>
      </c>
    </row>
    <row r="2941" spans="1:6" x14ac:dyDescent="0.25">
      <c r="A2941" s="4" t="str">
        <f>CONCATENATE("3071-0000-2906","")</f>
        <v>3071-0000-2906</v>
      </c>
      <c r="B2941" s="4" t="s">
        <v>1185</v>
      </c>
      <c r="C2941" s="5">
        <v>41489</v>
      </c>
      <c r="D2941" s="5">
        <v>41549</v>
      </c>
      <c r="E2941" s="4" t="s">
        <v>7</v>
      </c>
      <c r="F2941" s="4" t="s">
        <v>808</v>
      </c>
    </row>
    <row r="2942" spans="1:6" x14ac:dyDescent="0.25">
      <c r="A2942" s="4" t="str">
        <f>CONCATENATE("3071-0000-0696","")</f>
        <v>3071-0000-0696</v>
      </c>
      <c r="B2942" s="4" t="s">
        <v>527</v>
      </c>
      <c r="C2942" s="5">
        <v>41489</v>
      </c>
      <c r="D2942" s="5">
        <v>41549</v>
      </c>
      <c r="E2942" s="4" t="s">
        <v>7</v>
      </c>
      <c r="F2942" s="4" t="s">
        <v>273</v>
      </c>
    </row>
    <row r="2943" spans="1:6" x14ac:dyDescent="0.25">
      <c r="A2943" s="4" t="str">
        <f>CONCATENATE("3071-0000-4840","")</f>
        <v>3071-0000-4840</v>
      </c>
      <c r="B2943" s="4" t="s">
        <v>8869</v>
      </c>
      <c r="C2943" s="5">
        <v>41489</v>
      </c>
      <c r="D2943" s="5">
        <v>41549</v>
      </c>
      <c r="E2943" s="4" t="s">
        <v>1410</v>
      </c>
      <c r="F2943" s="4" t="s">
        <v>8696</v>
      </c>
    </row>
    <row r="2944" spans="1:6" x14ac:dyDescent="0.25">
      <c r="A2944" s="4" t="str">
        <f>CONCATENATE("3071-0000-4348","")</f>
        <v>3071-0000-4348</v>
      </c>
      <c r="B2944" s="4" t="s">
        <v>9111</v>
      </c>
      <c r="C2944" s="5">
        <v>41489</v>
      </c>
      <c r="D2944" s="5">
        <v>41549</v>
      </c>
      <c r="E2944" s="4" t="s">
        <v>1410</v>
      </c>
      <c r="F2944" s="4" t="s">
        <v>8696</v>
      </c>
    </row>
    <row r="2945" spans="1:6" x14ac:dyDescent="0.25">
      <c r="A2945" s="4" t="str">
        <f>CONCATENATE("3071-0000-7160","")</f>
        <v>3071-0000-7160</v>
      </c>
      <c r="B2945" s="4" t="s">
        <v>5108</v>
      </c>
      <c r="C2945" s="5">
        <v>41489</v>
      </c>
      <c r="D2945" s="5">
        <v>41549</v>
      </c>
      <c r="E2945" s="4" t="s">
        <v>1410</v>
      </c>
      <c r="F2945" s="4" t="s">
        <v>1410</v>
      </c>
    </row>
    <row r="2946" spans="1:6" x14ac:dyDescent="0.25">
      <c r="A2946" s="4" t="str">
        <f>CONCATENATE("3071-0000-4452","")</f>
        <v>3071-0000-4452</v>
      </c>
      <c r="B2946" s="4" t="s">
        <v>9333</v>
      </c>
      <c r="C2946" s="5">
        <v>41489</v>
      </c>
      <c r="D2946" s="5">
        <v>41549</v>
      </c>
      <c r="E2946" s="4" t="s">
        <v>1410</v>
      </c>
      <c r="F2946" s="4" t="s">
        <v>8696</v>
      </c>
    </row>
    <row r="2947" spans="1:6" x14ac:dyDescent="0.25">
      <c r="A2947" s="4" t="str">
        <f>CONCATENATE("3071-0000-4832","")</f>
        <v>3071-0000-4832</v>
      </c>
      <c r="B2947" s="4" t="s">
        <v>9453</v>
      </c>
      <c r="C2947" s="5">
        <v>41489</v>
      </c>
      <c r="D2947" s="5">
        <v>41549</v>
      </c>
      <c r="E2947" s="4" t="s">
        <v>1410</v>
      </c>
      <c r="F2947" s="4" t="s">
        <v>8696</v>
      </c>
    </row>
    <row r="2948" spans="1:6" x14ac:dyDescent="0.25">
      <c r="A2948" s="4" t="str">
        <f>CONCATENATE("3071-0000-7368","")</f>
        <v>3071-0000-7368</v>
      </c>
      <c r="B2948" s="4" t="s">
        <v>4714</v>
      </c>
      <c r="C2948" s="5">
        <v>41489</v>
      </c>
      <c r="D2948" s="5">
        <v>41549</v>
      </c>
      <c r="E2948" s="4" t="s">
        <v>1410</v>
      </c>
      <c r="F2948" s="4" t="s">
        <v>1410</v>
      </c>
    </row>
    <row r="2949" spans="1:6" x14ac:dyDescent="0.25">
      <c r="A2949" s="4" t="str">
        <f>CONCATENATE("3071-0000-4855","")</f>
        <v>3071-0000-4855</v>
      </c>
      <c r="B2949" s="4" t="s">
        <v>9407</v>
      </c>
      <c r="C2949" s="5">
        <v>41489</v>
      </c>
      <c r="D2949" s="5">
        <v>41549</v>
      </c>
      <c r="E2949" s="4" t="s">
        <v>7069</v>
      </c>
      <c r="F2949" s="4" t="s">
        <v>9210</v>
      </c>
    </row>
    <row r="2950" spans="1:6" x14ac:dyDescent="0.25">
      <c r="A2950" s="4" t="str">
        <f>CONCATENATE("3071-0000-6706","")</f>
        <v>3071-0000-6706</v>
      </c>
      <c r="B2950" s="4" t="s">
        <v>8188</v>
      </c>
      <c r="C2950" s="5">
        <v>41489</v>
      </c>
      <c r="D2950" s="5">
        <v>41549</v>
      </c>
      <c r="E2950" s="4" t="s">
        <v>5185</v>
      </c>
      <c r="F2950" s="4" t="s">
        <v>5185</v>
      </c>
    </row>
    <row r="2951" spans="1:6" x14ac:dyDescent="0.25">
      <c r="A2951" s="4" t="str">
        <f>CONCATENATE("3071-0000-7902","")</f>
        <v>3071-0000-7902</v>
      </c>
      <c r="B2951" s="4" t="s">
        <v>5464</v>
      </c>
      <c r="C2951" s="5">
        <v>41489</v>
      </c>
      <c r="D2951" s="5">
        <v>41549</v>
      </c>
      <c r="E2951" s="4" t="s">
        <v>5185</v>
      </c>
      <c r="F2951" s="4" t="s">
        <v>5185</v>
      </c>
    </row>
    <row r="2952" spans="1:6" x14ac:dyDescent="0.25">
      <c r="A2952" s="4" t="str">
        <f>CONCATENATE("3071-0000-4822","")</f>
        <v>3071-0000-4822</v>
      </c>
      <c r="B2952" s="4" t="s">
        <v>9128</v>
      </c>
      <c r="C2952" s="5">
        <v>41489</v>
      </c>
      <c r="D2952" s="5">
        <v>41549</v>
      </c>
      <c r="E2952" s="4" t="s">
        <v>1410</v>
      </c>
      <c r="F2952" s="4" t="s">
        <v>8696</v>
      </c>
    </row>
    <row r="2953" spans="1:6" x14ac:dyDescent="0.25">
      <c r="A2953" s="4" t="str">
        <f>CONCATENATE("3071-0000-1898","")</f>
        <v>3071-0000-1898</v>
      </c>
      <c r="B2953" s="4" t="s">
        <v>2983</v>
      </c>
      <c r="C2953" s="5">
        <v>41489</v>
      </c>
      <c r="D2953" s="5">
        <v>41549</v>
      </c>
      <c r="E2953" s="4" t="s">
        <v>2944</v>
      </c>
      <c r="F2953" s="4" t="s">
        <v>2945</v>
      </c>
    </row>
    <row r="2954" spans="1:6" x14ac:dyDescent="0.25">
      <c r="A2954" s="4" t="str">
        <f>CONCATENATE("3071-0000-0592","")</f>
        <v>3071-0000-0592</v>
      </c>
      <c r="B2954" s="4" t="s">
        <v>97</v>
      </c>
      <c r="C2954" s="5">
        <v>41489</v>
      </c>
      <c r="D2954" s="5">
        <v>41549</v>
      </c>
      <c r="E2954" s="4" t="s">
        <v>7</v>
      </c>
      <c r="F2954" s="4" t="s">
        <v>7</v>
      </c>
    </row>
    <row r="2955" spans="1:6" x14ac:dyDescent="0.25">
      <c r="A2955" s="4" t="str">
        <f>CONCATENATE("3071-0000-8578","")</f>
        <v>3071-0000-8578</v>
      </c>
      <c r="B2955" s="4" t="s">
        <v>6079</v>
      </c>
      <c r="C2955" s="5">
        <v>41489</v>
      </c>
      <c r="D2955" s="5">
        <v>41549</v>
      </c>
      <c r="E2955" s="4" t="s">
        <v>5185</v>
      </c>
      <c r="F2955" s="4" t="s">
        <v>5945</v>
      </c>
    </row>
    <row r="2956" spans="1:6" x14ac:dyDescent="0.25">
      <c r="A2956" s="4" t="str">
        <f>CONCATENATE("3071-0000-8194","")</f>
        <v>3071-0000-8194</v>
      </c>
      <c r="B2956" s="4" t="s">
        <v>5966</v>
      </c>
      <c r="C2956" s="5">
        <v>41489</v>
      </c>
      <c r="D2956" s="5">
        <v>41549</v>
      </c>
      <c r="E2956" s="4" t="s">
        <v>5185</v>
      </c>
      <c r="F2956" s="4" t="s">
        <v>5185</v>
      </c>
    </row>
    <row r="2957" spans="1:6" x14ac:dyDescent="0.25">
      <c r="A2957" s="4" t="str">
        <f>CONCATENATE("3071-0000-2036","")</f>
        <v>3071-0000-2036</v>
      </c>
      <c r="B2957" s="4" t="s">
        <v>3334</v>
      </c>
      <c r="C2957" s="5">
        <v>41489</v>
      </c>
      <c r="D2957" s="5">
        <v>41549</v>
      </c>
      <c r="E2957" s="4" t="s">
        <v>2944</v>
      </c>
      <c r="F2957" s="4" t="s">
        <v>2945</v>
      </c>
    </row>
    <row r="2958" spans="1:6" x14ac:dyDescent="0.25">
      <c r="A2958" s="4" t="str">
        <f>CONCATENATE("3071-0000-4147","")</f>
        <v>3071-0000-4147</v>
      </c>
      <c r="B2958" s="4" t="s">
        <v>4047</v>
      </c>
      <c r="C2958" s="5">
        <v>41489</v>
      </c>
      <c r="D2958" s="5">
        <v>41549</v>
      </c>
      <c r="E2958" s="4" t="s">
        <v>1381</v>
      </c>
      <c r="F2958" s="4" t="s">
        <v>4044</v>
      </c>
    </row>
    <row r="2959" spans="1:6" x14ac:dyDescent="0.25">
      <c r="A2959" s="4" t="str">
        <f>CONCATENATE("3071-0000-1756","")</f>
        <v>3071-0000-1756</v>
      </c>
      <c r="B2959" s="4" t="s">
        <v>2761</v>
      </c>
      <c r="C2959" s="5">
        <v>41489</v>
      </c>
      <c r="D2959" s="5">
        <v>41549</v>
      </c>
      <c r="E2959" s="4" t="s">
        <v>1381</v>
      </c>
      <c r="F2959" s="4" t="s">
        <v>1382</v>
      </c>
    </row>
    <row r="2960" spans="1:6" x14ac:dyDescent="0.25">
      <c r="A2960" s="4" t="str">
        <f>CONCATENATE("3071-0000-4847","")</f>
        <v>3071-0000-4847</v>
      </c>
      <c r="B2960" s="4" t="s">
        <v>8810</v>
      </c>
      <c r="C2960" s="5">
        <v>41489</v>
      </c>
      <c r="D2960" s="5">
        <v>41549</v>
      </c>
      <c r="E2960" s="4" t="s">
        <v>1410</v>
      </c>
      <c r="F2960" s="4" t="s">
        <v>8696</v>
      </c>
    </row>
    <row r="2961" spans="1:6" x14ac:dyDescent="0.25">
      <c r="A2961" s="4" t="str">
        <f>CONCATENATE("3071-0000-4253","")</f>
        <v>3071-0000-4253</v>
      </c>
      <c r="B2961" s="4" t="s">
        <v>8815</v>
      </c>
      <c r="C2961" s="5">
        <v>41489</v>
      </c>
      <c r="D2961" s="5">
        <v>41549</v>
      </c>
      <c r="E2961" s="4" t="s">
        <v>1410</v>
      </c>
      <c r="F2961" s="4" t="s">
        <v>8696</v>
      </c>
    </row>
    <row r="2962" spans="1:6" x14ac:dyDescent="0.25">
      <c r="A2962" s="4" t="str">
        <f>CONCATENATE("3071-0000-1596","")</f>
        <v>3071-0000-1596</v>
      </c>
      <c r="B2962" s="4" t="s">
        <v>2765</v>
      </c>
      <c r="C2962" s="5">
        <v>41489</v>
      </c>
      <c r="D2962" s="5">
        <v>41549</v>
      </c>
      <c r="E2962" s="4" t="s">
        <v>1381</v>
      </c>
      <c r="F2962" s="4" t="s">
        <v>2303</v>
      </c>
    </row>
    <row r="2963" spans="1:6" x14ac:dyDescent="0.25">
      <c r="A2963" s="4" t="str">
        <f>CONCATENATE("3071-0000-4845","")</f>
        <v>3071-0000-4845</v>
      </c>
      <c r="B2963" s="4" t="s">
        <v>8827</v>
      </c>
      <c r="C2963" s="5">
        <v>41489</v>
      </c>
      <c r="D2963" s="5">
        <v>41549</v>
      </c>
      <c r="E2963" s="4" t="s">
        <v>1410</v>
      </c>
      <c r="F2963" s="4" t="s">
        <v>8696</v>
      </c>
    </row>
    <row r="2964" spans="1:6" x14ac:dyDescent="0.25">
      <c r="A2964" s="4" t="str">
        <f>CONCATENATE("3071-0000-5032","")</f>
        <v>3071-0000-5032</v>
      </c>
      <c r="B2964" s="4" t="s">
        <v>8831</v>
      </c>
      <c r="C2964" s="5">
        <v>41489</v>
      </c>
      <c r="D2964" s="5">
        <v>41549</v>
      </c>
      <c r="E2964" s="4" t="s">
        <v>1410</v>
      </c>
      <c r="F2964" s="4" t="s">
        <v>5258</v>
      </c>
    </row>
    <row r="2965" spans="1:6" x14ac:dyDescent="0.25">
      <c r="A2965" s="4" t="str">
        <f>CONCATENATE("3071-0000-9018","")</f>
        <v>3071-0000-9018</v>
      </c>
      <c r="B2965" s="4" t="s">
        <v>6503</v>
      </c>
      <c r="C2965" s="5">
        <v>41489</v>
      </c>
      <c r="D2965" s="5">
        <v>41549</v>
      </c>
      <c r="E2965" s="4" t="s">
        <v>5185</v>
      </c>
      <c r="F2965" s="4" t="s">
        <v>5292</v>
      </c>
    </row>
    <row r="2966" spans="1:6" x14ac:dyDescent="0.25">
      <c r="A2966" s="4" t="str">
        <f>CONCATENATE("3071-0000-8829","")</f>
        <v>3071-0000-8829</v>
      </c>
      <c r="B2966" s="4" t="s">
        <v>6586</v>
      </c>
      <c r="C2966" s="5">
        <v>41489</v>
      </c>
      <c r="D2966" s="5">
        <v>41549</v>
      </c>
      <c r="E2966" s="4" t="s">
        <v>5185</v>
      </c>
      <c r="F2966" s="4" t="s">
        <v>5292</v>
      </c>
    </row>
    <row r="2967" spans="1:6" x14ac:dyDescent="0.25">
      <c r="A2967" s="4" t="str">
        <f>CONCATENATE("3071-0000-5059","")</f>
        <v>3071-0000-5059</v>
      </c>
      <c r="B2967" s="4" t="s">
        <v>8839</v>
      </c>
      <c r="C2967" s="5">
        <v>41489</v>
      </c>
      <c r="D2967" s="5">
        <v>41549</v>
      </c>
      <c r="E2967" s="4" t="s">
        <v>1410</v>
      </c>
      <c r="F2967" s="4" t="s">
        <v>5258</v>
      </c>
    </row>
    <row r="2968" spans="1:6" x14ac:dyDescent="0.25">
      <c r="A2968" s="4" t="str">
        <f>CONCATENATE("3071-0000-5188","")</f>
        <v>3071-0000-5188</v>
      </c>
      <c r="B2968" s="4" t="s">
        <v>8796</v>
      </c>
      <c r="C2968" s="5">
        <v>41489</v>
      </c>
      <c r="D2968" s="5">
        <v>41549</v>
      </c>
      <c r="E2968" s="4" t="s">
        <v>1410</v>
      </c>
      <c r="F2968" s="4" t="s">
        <v>5258</v>
      </c>
    </row>
    <row r="2969" spans="1:6" x14ac:dyDescent="0.25">
      <c r="A2969" s="4" t="str">
        <f>CONCATENATE("3071-0000-4878","")</f>
        <v>3071-0000-4878</v>
      </c>
      <c r="B2969" s="4" t="s">
        <v>8808</v>
      </c>
      <c r="C2969" s="5">
        <v>41489</v>
      </c>
      <c r="D2969" s="5">
        <v>41549</v>
      </c>
      <c r="E2969" s="4" t="s">
        <v>1410</v>
      </c>
      <c r="F2969" s="4" t="s">
        <v>5258</v>
      </c>
    </row>
    <row r="2970" spans="1:6" x14ac:dyDescent="0.25">
      <c r="A2970" s="4" t="str">
        <f>CONCATENATE("3071-0000-1583","")</f>
        <v>3071-0000-1583</v>
      </c>
      <c r="B2970" s="4" t="s">
        <v>2880</v>
      </c>
      <c r="C2970" s="5">
        <v>41489</v>
      </c>
      <c r="D2970" s="5">
        <v>41549</v>
      </c>
      <c r="E2970" s="4" t="s">
        <v>1381</v>
      </c>
      <c r="F2970" s="4" t="s">
        <v>2303</v>
      </c>
    </row>
    <row r="2971" spans="1:6" x14ac:dyDescent="0.25">
      <c r="A2971" s="4" t="str">
        <f>CONCATENATE("3071-0000-5061","")</f>
        <v>3071-0000-5061</v>
      </c>
      <c r="B2971" s="4" t="s">
        <v>8812</v>
      </c>
      <c r="C2971" s="5">
        <v>41489</v>
      </c>
      <c r="D2971" s="5">
        <v>41549</v>
      </c>
      <c r="E2971" s="4" t="s">
        <v>1410</v>
      </c>
      <c r="F2971" s="4" t="s">
        <v>5258</v>
      </c>
    </row>
    <row r="2972" spans="1:6" x14ac:dyDescent="0.25">
      <c r="A2972" s="4" t="str">
        <f>CONCATENATE("3071-0000-1560","")</f>
        <v>3071-0000-1560</v>
      </c>
      <c r="B2972" s="4" t="s">
        <v>2304</v>
      </c>
      <c r="C2972" s="5">
        <v>41489</v>
      </c>
      <c r="D2972" s="5">
        <v>41549</v>
      </c>
      <c r="E2972" s="4" t="s">
        <v>1381</v>
      </c>
      <c r="F2972" s="4" t="s">
        <v>2303</v>
      </c>
    </row>
    <row r="2973" spans="1:6" x14ac:dyDescent="0.25">
      <c r="A2973" s="4" t="str">
        <f>CONCATENATE("3071-0000-4887","")</f>
        <v>3071-0000-4887</v>
      </c>
      <c r="B2973" s="4" t="s">
        <v>8804</v>
      </c>
      <c r="C2973" s="5">
        <v>41489</v>
      </c>
      <c r="D2973" s="5">
        <v>41549</v>
      </c>
      <c r="E2973" s="4" t="s">
        <v>1410</v>
      </c>
      <c r="F2973" s="4" t="s">
        <v>5258</v>
      </c>
    </row>
    <row r="2974" spans="1:6" x14ac:dyDescent="0.25">
      <c r="A2974" s="4" t="str">
        <f>CONCATENATE("3071-0000-6616","")</f>
        <v>3071-0000-6616</v>
      </c>
      <c r="B2974" s="4" t="s">
        <v>8221</v>
      </c>
      <c r="C2974" s="5">
        <v>41489</v>
      </c>
      <c r="D2974" s="5">
        <v>41549</v>
      </c>
      <c r="E2974" s="4" t="s">
        <v>5185</v>
      </c>
      <c r="F2974" s="4" t="s">
        <v>5185</v>
      </c>
    </row>
    <row r="2975" spans="1:6" x14ac:dyDescent="0.25">
      <c r="A2975" s="4" t="str">
        <f>CONCATENATE("3071-0000-1268","")</f>
        <v>3071-0000-1268</v>
      </c>
      <c r="B2975" s="4" t="s">
        <v>2366</v>
      </c>
      <c r="C2975" s="5">
        <v>41489</v>
      </c>
      <c r="D2975" s="5">
        <v>41549</v>
      </c>
      <c r="E2975" s="4" t="s">
        <v>1381</v>
      </c>
      <c r="F2975" s="4" t="s">
        <v>2303</v>
      </c>
    </row>
    <row r="2976" spans="1:6" x14ac:dyDescent="0.25">
      <c r="A2976" s="4" t="str">
        <f>CONCATENATE("3071-0000-3868","")</f>
        <v>3071-0000-3868</v>
      </c>
      <c r="B2976" s="4" t="s">
        <v>4017</v>
      </c>
      <c r="C2976" s="5">
        <v>41489</v>
      </c>
      <c r="D2976" s="5">
        <v>41549</v>
      </c>
      <c r="E2976" s="4" t="s">
        <v>1381</v>
      </c>
      <c r="F2976" s="4" t="s">
        <v>3994</v>
      </c>
    </row>
    <row r="2977" spans="1:6" x14ac:dyDescent="0.25">
      <c r="A2977" s="4" t="str">
        <f>CONCATENATE("3071-0000-4144","")</f>
        <v>3071-0000-4144</v>
      </c>
      <c r="B2977" s="4" t="s">
        <v>4049</v>
      </c>
      <c r="C2977" s="5">
        <v>41489</v>
      </c>
      <c r="D2977" s="5">
        <v>41549</v>
      </c>
      <c r="E2977" s="4" t="s">
        <v>1381</v>
      </c>
      <c r="F2977" s="4" t="s">
        <v>4044</v>
      </c>
    </row>
    <row r="2978" spans="1:6" x14ac:dyDescent="0.25">
      <c r="A2978" s="4" t="str">
        <f>CONCATENATE("3071-0000-4877","")</f>
        <v>3071-0000-4877</v>
      </c>
      <c r="B2978" s="4" t="s">
        <v>8798</v>
      </c>
      <c r="C2978" s="5">
        <v>41489</v>
      </c>
      <c r="D2978" s="5">
        <v>41549</v>
      </c>
      <c r="E2978" s="4" t="s">
        <v>1410</v>
      </c>
      <c r="F2978" s="4" t="s">
        <v>5258</v>
      </c>
    </row>
    <row r="2979" spans="1:6" x14ac:dyDescent="0.25">
      <c r="A2979" s="4" t="str">
        <f>CONCATENATE("3071-0000-6206","")</f>
        <v>3071-0000-6206</v>
      </c>
      <c r="B2979" s="4" t="s">
        <v>7465</v>
      </c>
      <c r="C2979" s="5">
        <v>41489</v>
      </c>
      <c r="D2979" s="5">
        <v>41549</v>
      </c>
      <c r="E2979" s="4" t="s">
        <v>1410</v>
      </c>
      <c r="F2979" s="4" t="s">
        <v>1410</v>
      </c>
    </row>
    <row r="2980" spans="1:6" x14ac:dyDescent="0.25">
      <c r="A2980" s="4" t="str">
        <f>CONCATENATE("3071-0000-1512","")</f>
        <v>3071-0000-1512</v>
      </c>
      <c r="B2980" s="4" t="s">
        <v>2841</v>
      </c>
      <c r="C2980" s="5">
        <v>41489</v>
      </c>
      <c r="D2980" s="5">
        <v>41549</v>
      </c>
      <c r="E2980" s="4" t="s">
        <v>1381</v>
      </c>
      <c r="F2980" s="4" t="s">
        <v>2303</v>
      </c>
    </row>
    <row r="2981" spans="1:6" x14ac:dyDescent="0.25">
      <c r="A2981" s="4" t="str">
        <f>CONCATENATE("3071-0000-1595","")</f>
        <v>3071-0000-1595</v>
      </c>
      <c r="B2981" s="4" t="s">
        <v>2766</v>
      </c>
      <c r="C2981" s="5">
        <v>41489</v>
      </c>
      <c r="D2981" s="5">
        <v>41549</v>
      </c>
      <c r="E2981" s="4" t="s">
        <v>1381</v>
      </c>
      <c r="F2981" s="4" t="s">
        <v>2303</v>
      </c>
    </row>
    <row r="2982" spans="1:6" x14ac:dyDescent="0.25">
      <c r="A2982" s="4" t="str">
        <f>CONCATENATE("3071-0000-8368","")</f>
        <v>3071-0000-8368</v>
      </c>
      <c r="B2982" s="4" t="s">
        <v>5829</v>
      </c>
      <c r="C2982" s="5">
        <v>41489</v>
      </c>
      <c r="D2982" s="5">
        <v>41549</v>
      </c>
      <c r="E2982" s="4" t="s">
        <v>5185</v>
      </c>
      <c r="F2982" s="4" t="s">
        <v>5185</v>
      </c>
    </row>
    <row r="2983" spans="1:6" x14ac:dyDescent="0.25">
      <c r="A2983" s="4" t="str">
        <f>CONCATENATE("3071-0000-0159","")</f>
        <v>3071-0000-0159</v>
      </c>
      <c r="B2983" s="4" t="s">
        <v>338</v>
      </c>
      <c r="C2983" s="5">
        <v>41489</v>
      </c>
      <c r="D2983" s="5">
        <v>41549</v>
      </c>
      <c r="E2983" s="4" t="s">
        <v>7</v>
      </c>
      <c r="F2983" s="4" t="s">
        <v>7</v>
      </c>
    </row>
    <row r="2984" spans="1:6" x14ac:dyDescent="0.25">
      <c r="A2984" s="4" t="str">
        <f>CONCATENATE("3071-0000-0160","")</f>
        <v>3071-0000-0160</v>
      </c>
      <c r="B2984" s="4" t="s">
        <v>339</v>
      </c>
      <c r="C2984" s="5">
        <v>41489</v>
      </c>
      <c r="D2984" s="5">
        <v>41549</v>
      </c>
      <c r="E2984" s="4" t="s">
        <v>7</v>
      </c>
      <c r="F2984" s="4" t="s">
        <v>7</v>
      </c>
    </row>
    <row r="2985" spans="1:6" x14ac:dyDescent="0.25">
      <c r="A2985" s="4" t="str">
        <f>CONCATENATE("3071-0000-8053","")</f>
        <v>3071-0000-8053</v>
      </c>
      <c r="B2985" s="4" t="s">
        <v>5674</v>
      </c>
      <c r="C2985" s="5">
        <v>41489</v>
      </c>
      <c r="D2985" s="5">
        <v>41549</v>
      </c>
      <c r="E2985" s="4" t="s">
        <v>5185</v>
      </c>
      <c r="F2985" s="4" t="s">
        <v>5185</v>
      </c>
    </row>
    <row r="2986" spans="1:6" x14ac:dyDescent="0.25">
      <c r="A2986" s="4" t="str">
        <f>CONCATENATE("3071-0000-8052","")</f>
        <v>3071-0000-8052</v>
      </c>
      <c r="B2986" s="4" t="s">
        <v>5675</v>
      </c>
      <c r="C2986" s="5">
        <v>41489</v>
      </c>
      <c r="D2986" s="5">
        <v>41549</v>
      </c>
      <c r="E2986" s="4" t="s">
        <v>5185</v>
      </c>
      <c r="F2986" s="4" t="s">
        <v>5185</v>
      </c>
    </row>
    <row r="2987" spans="1:6" x14ac:dyDescent="0.25">
      <c r="A2987" s="4" t="str">
        <f>CONCATENATE("3071-0000-0380","")</f>
        <v>3071-0000-0380</v>
      </c>
      <c r="B2987" s="4" t="s">
        <v>215</v>
      </c>
      <c r="C2987" s="5">
        <v>41489</v>
      </c>
      <c r="D2987" s="5">
        <v>41549</v>
      </c>
      <c r="E2987" s="4" t="s">
        <v>7</v>
      </c>
      <c r="F2987" s="4" t="s">
        <v>7</v>
      </c>
    </row>
    <row r="2988" spans="1:6" x14ac:dyDescent="0.25">
      <c r="A2988" s="4" t="str">
        <f>CONCATENATE("3071-0000-2531","")</f>
        <v>3071-0000-2531</v>
      </c>
      <c r="B2988" s="4" t="s">
        <v>3153</v>
      </c>
      <c r="C2988" s="5">
        <v>41489</v>
      </c>
      <c r="D2988" s="5">
        <v>41549</v>
      </c>
      <c r="E2988" s="4" t="s">
        <v>2944</v>
      </c>
      <c r="F2988" s="4" t="s">
        <v>3115</v>
      </c>
    </row>
    <row r="2989" spans="1:6" x14ac:dyDescent="0.25">
      <c r="A2989" s="4" t="str">
        <f>CONCATENATE("3071-0000-2778","")</f>
        <v>3071-0000-2778</v>
      </c>
      <c r="B2989" s="4" t="s">
        <v>930</v>
      </c>
      <c r="C2989" s="5">
        <v>41489</v>
      </c>
      <c r="D2989" s="5">
        <v>41549</v>
      </c>
      <c r="E2989" s="4" t="s">
        <v>7</v>
      </c>
      <c r="F2989" s="4" t="s">
        <v>808</v>
      </c>
    </row>
    <row r="2990" spans="1:6" x14ac:dyDescent="0.25">
      <c r="A2990" s="4" t="str">
        <f>CONCATENATE("3071-0000-2084","")</f>
        <v>3071-0000-2084</v>
      </c>
      <c r="B2990" s="4" t="s">
        <v>3469</v>
      </c>
      <c r="C2990" s="5">
        <v>41489</v>
      </c>
      <c r="D2990" s="5">
        <v>41549</v>
      </c>
      <c r="E2990" s="4" t="s">
        <v>2944</v>
      </c>
      <c r="F2990" s="4" t="s">
        <v>2945</v>
      </c>
    </row>
    <row r="2991" spans="1:6" x14ac:dyDescent="0.25">
      <c r="A2991" s="4" t="str">
        <f>CONCATENATE("3071-0000-2979","")</f>
        <v>3071-0000-2979</v>
      </c>
      <c r="B2991" s="4" t="s">
        <v>941</v>
      </c>
      <c r="C2991" s="5">
        <v>41489</v>
      </c>
      <c r="D2991" s="5">
        <v>41549</v>
      </c>
      <c r="E2991" s="4" t="s">
        <v>7</v>
      </c>
      <c r="F2991" s="4" t="s">
        <v>808</v>
      </c>
    </row>
    <row r="2992" spans="1:6" x14ac:dyDescent="0.25">
      <c r="A2992" s="4" t="str">
        <f>CONCATENATE("3071-0000-2638","")</f>
        <v>3071-0000-2638</v>
      </c>
      <c r="B2992" s="4" t="s">
        <v>3755</v>
      </c>
      <c r="C2992" s="5">
        <v>41489</v>
      </c>
      <c r="D2992" s="5">
        <v>41549</v>
      </c>
      <c r="E2992" s="4" t="s">
        <v>2944</v>
      </c>
      <c r="F2992" s="4" t="s">
        <v>3115</v>
      </c>
    </row>
    <row r="2993" spans="1:6" x14ac:dyDescent="0.25">
      <c r="A2993" s="4" t="str">
        <f>CONCATENATE("3071-0000-2425","")</f>
        <v>3071-0000-2425</v>
      </c>
      <c r="B2993" s="4" t="s">
        <v>3744</v>
      </c>
      <c r="C2993" s="5">
        <v>41489</v>
      </c>
      <c r="D2993" s="5">
        <v>41549</v>
      </c>
      <c r="E2993" s="4" t="s">
        <v>2944</v>
      </c>
      <c r="F2993" s="4" t="s">
        <v>3593</v>
      </c>
    </row>
    <row r="2994" spans="1:6" x14ac:dyDescent="0.25">
      <c r="A2994" s="4" t="str">
        <f>CONCATENATE("3071-0000-3244","")</f>
        <v>3071-0000-3244</v>
      </c>
      <c r="B2994" s="4" t="s">
        <v>911</v>
      </c>
      <c r="C2994" s="5">
        <v>41489</v>
      </c>
      <c r="D2994" s="5">
        <v>41549</v>
      </c>
      <c r="E2994" s="4" t="s">
        <v>7</v>
      </c>
      <c r="F2994" s="4" t="s">
        <v>808</v>
      </c>
    </row>
    <row r="2995" spans="1:6" x14ac:dyDescent="0.25">
      <c r="A2995" s="4" t="str">
        <f>CONCATENATE("3071-0000-2905","")</f>
        <v>3071-0000-2905</v>
      </c>
      <c r="B2995" s="4" t="s">
        <v>914</v>
      </c>
      <c r="C2995" s="5">
        <v>41489</v>
      </c>
      <c r="D2995" s="5">
        <v>41549</v>
      </c>
      <c r="E2995" s="4" t="s">
        <v>7</v>
      </c>
      <c r="F2995" s="4" t="s">
        <v>808</v>
      </c>
    </row>
    <row r="2996" spans="1:6" x14ac:dyDescent="0.25">
      <c r="A2996" s="4" t="str">
        <f>CONCATENATE("3071-0000-3165","")</f>
        <v>3071-0000-3165</v>
      </c>
      <c r="B2996" s="4" t="s">
        <v>1287</v>
      </c>
      <c r="C2996" s="5">
        <v>41489</v>
      </c>
      <c r="D2996" s="5">
        <v>41549</v>
      </c>
      <c r="E2996" s="4" t="s">
        <v>7</v>
      </c>
      <c r="F2996" s="4" t="s">
        <v>808</v>
      </c>
    </row>
    <row r="2997" spans="1:6" x14ac:dyDescent="0.25">
      <c r="A2997" s="4" t="str">
        <f>CONCATENATE("3071-0000-1122","")</f>
        <v>3071-0000-1122</v>
      </c>
      <c r="B2997" s="4" t="s">
        <v>2083</v>
      </c>
      <c r="C2997" s="5">
        <v>41489</v>
      </c>
      <c r="D2997" s="5">
        <v>41549</v>
      </c>
      <c r="E2997" s="4" t="s">
        <v>1857</v>
      </c>
      <c r="F2997" s="4" t="s">
        <v>2052</v>
      </c>
    </row>
    <row r="2998" spans="1:6" x14ac:dyDescent="0.25">
      <c r="A2998" s="4" t="str">
        <f>CONCATENATE("3071-0000-2711","")</f>
        <v>3071-0000-2711</v>
      </c>
      <c r="B2998" s="4" t="s">
        <v>3331</v>
      </c>
      <c r="C2998" s="5">
        <v>41489</v>
      </c>
      <c r="D2998" s="5">
        <v>41549</v>
      </c>
      <c r="E2998" s="4" t="s">
        <v>1857</v>
      </c>
      <c r="F2998" s="4" t="s">
        <v>3306</v>
      </c>
    </row>
    <row r="2999" spans="1:6" x14ac:dyDescent="0.25">
      <c r="A2999" s="4" t="str">
        <f>CONCATENATE("3071-0000-0692","")</f>
        <v>3071-0000-0692</v>
      </c>
      <c r="B2999" s="4" t="s">
        <v>294</v>
      </c>
      <c r="C2999" s="5">
        <v>41489</v>
      </c>
      <c r="D2999" s="5">
        <v>41549</v>
      </c>
      <c r="E2999" s="4" t="s">
        <v>7</v>
      </c>
      <c r="F2999" s="4" t="s">
        <v>273</v>
      </c>
    </row>
    <row r="3000" spans="1:6" x14ac:dyDescent="0.25">
      <c r="A3000" s="4" t="str">
        <f>CONCATENATE("3071-0000-3776","")</f>
        <v>3071-0000-3776</v>
      </c>
      <c r="B3000" s="4" t="s">
        <v>4248</v>
      </c>
      <c r="C3000" s="5">
        <v>41489</v>
      </c>
      <c r="D3000" s="5">
        <v>41549</v>
      </c>
      <c r="E3000" s="4" t="s">
        <v>7</v>
      </c>
      <c r="F3000" s="4" t="s">
        <v>1419</v>
      </c>
    </row>
    <row r="3001" spans="1:6" x14ac:dyDescent="0.25">
      <c r="A3001" s="4" t="str">
        <f>CONCATENATE("3071-0000-0843","")</f>
        <v>3071-0000-0843</v>
      </c>
      <c r="B3001" s="4" t="s">
        <v>1917</v>
      </c>
      <c r="C3001" s="5">
        <v>41489</v>
      </c>
      <c r="D3001" s="5">
        <v>41549</v>
      </c>
      <c r="E3001" s="4" t="s">
        <v>1857</v>
      </c>
      <c r="F3001" s="4" t="s">
        <v>1857</v>
      </c>
    </row>
    <row r="3002" spans="1:6" x14ac:dyDescent="0.25">
      <c r="A3002" s="4" t="str">
        <f>CONCATENATE("3071-0000-0419","")</f>
        <v>3071-0000-0419</v>
      </c>
      <c r="B3002" s="4" t="s">
        <v>635</v>
      </c>
      <c r="C3002" s="5">
        <v>41489</v>
      </c>
      <c r="D3002" s="5">
        <v>41549</v>
      </c>
      <c r="E3002" s="4" t="s">
        <v>7</v>
      </c>
      <c r="F3002" s="4" t="s">
        <v>7</v>
      </c>
    </row>
    <row r="3003" spans="1:6" x14ac:dyDescent="0.25">
      <c r="A3003" s="4" t="str">
        <f>CONCATENATE("3071-0000-5907","")</f>
        <v>3071-0000-5907</v>
      </c>
      <c r="B3003" s="4" t="s">
        <v>6955</v>
      </c>
      <c r="C3003" s="5">
        <v>41489</v>
      </c>
      <c r="D3003" s="5">
        <v>41549</v>
      </c>
      <c r="E3003" s="4" t="s">
        <v>5185</v>
      </c>
      <c r="F3003" s="4" t="s">
        <v>5185</v>
      </c>
    </row>
    <row r="3004" spans="1:6" x14ac:dyDescent="0.25">
      <c r="A3004" s="4" t="str">
        <f>CONCATENATE("3071-0000-4902","")</f>
        <v>3071-0000-4902</v>
      </c>
      <c r="B3004" s="4" t="s">
        <v>9332</v>
      </c>
      <c r="C3004" s="5">
        <v>41489</v>
      </c>
      <c r="D3004" s="5">
        <v>41549</v>
      </c>
      <c r="E3004" s="4" t="s">
        <v>7069</v>
      </c>
      <c r="F3004" s="4" t="s">
        <v>9210</v>
      </c>
    </row>
    <row r="3005" spans="1:6" x14ac:dyDescent="0.25">
      <c r="A3005" s="4" t="str">
        <f>CONCATENATE("3071-0000-4410","")</f>
        <v>3071-0000-4410</v>
      </c>
      <c r="B3005" s="4" t="s">
        <v>9271</v>
      </c>
      <c r="C3005" s="5">
        <v>41489</v>
      </c>
      <c r="D3005" s="5">
        <v>41549</v>
      </c>
      <c r="E3005" s="4" t="s">
        <v>1410</v>
      </c>
      <c r="F3005" s="4" t="s">
        <v>8696</v>
      </c>
    </row>
    <row r="3006" spans="1:6" x14ac:dyDescent="0.25">
      <c r="A3006" s="4" t="str">
        <f>CONCATENATE("3071-0000-4798","")</f>
        <v>3071-0000-4798</v>
      </c>
      <c r="B3006" s="4" t="s">
        <v>9542</v>
      </c>
      <c r="C3006" s="5">
        <v>41489</v>
      </c>
      <c r="D3006" s="5">
        <v>41549</v>
      </c>
      <c r="E3006" s="4" t="s">
        <v>1410</v>
      </c>
      <c r="F3006" s="4" t="s">
        <v>8696</v>
      </c>
    </row>
    <row r="3007" spans="1:6" x14ac:dyDescent="0.25">
      <c r="A3007" s="4" t="str">
        <f>CONCATENATE("3071-0000-5037","")</f>
        <v>3071-0000-5037</v>
      </c>
      <c r="B3007" s="4" t="s">
        <v>9513</v>
      </c>
      <c r="C3007" s="5">
        <v>41489</v>
      </c>
      <c r="D3007" s="5">
        <v>41549</v>
      </c>
      <c r="E3007" s="4" t="s">
        <v>7069</v>
      </c>
      <c r="F3007" s="4" t="s">
        <v>9210</v>
      </c>
    </row>
    <row r="3008" spans="1:6" x14ac:dyDescent="0.25">
      <c r="A3008" s="4" t="str">
        <f>CONCATENATE("3071-0000-4524","")</f>
        <v>3071-0000-4524</v>
      </c>
      <c r="B3008" s="4" t="s">
        <v>9537</v>
      </c>
      <c r="C3008" s="5">
        <v>41489</v>
      </c>
      <c r="D3008" s="5">
        <v>41549</v>
      </c>
      <c r="E3008" s="4" t="s">
        <v>1410</v>
      </c>
      <c r="F3008" s="4" t="s">
        <v>8696</v>
      </c>
    </row>
    <row r="3009" spans="1:6" x14ac:dyDescent="0.25">
      <c r="A3009" s="4" t="str">
        <f>CONCATENATE("3071-0000-4509","")</f>
        <v>3071-0000-4509</v>
      </c>
      <c r="B3009" s="4" t="s">
        <v>9510</v>
      </c>
      <c r="C3009" s="5">
        <v>41489</v>
      </c>
      <c r="D3009" s="5">
        <v>41549</v>
      </c>
      <c r="E3009" s="4" t="s">
        <v>1410</v>
      </c>
      <c r="F3009" s="4" t="s">
        <v>8696</v>
      </c>
    </row>
    <row r="3010" spans="1:6" x14ac:dyDescent="0.25">
      <c r="A3010" s="4" t="str">
        <f>CONCATENATE("3071-0000-2473","")</f>
        <v>3071-0000-2473</v>
      </c>
      <c r="B3010" s="4" t="s">
        <v>3641</v>
      </c>
      <c r="C3010" s="5">
        <v>41489</v>
      </c>
      <c r="D3010" s="5">
        <v>41549</v>
      </c>
      <c r="E3010" s="4" t="s">
        <v>2944</v>
      </c>
      <c r="F3010" s="4" t="s">
        <v>3567</v>
      </c>
    </row>
    <row r="3011" spans="1:6" x14ac:dyDescent="0.25">
      <c r="A3011" s="4" t="str">
        <f>CONCATENATE("3071-0000-4531","")</f>
        <v>3071-0000-4531</v>
      </c>
      <c r="B3011" s="4" t="s">
        <v>9555</v>
      </c>
      <c r="C3011" s="5">
        <v>41489</v>
      </c>
      <c r="D3011" s="5">
        <v>41549</v>
      </c>
      <c r="E3011" s="4" t="s">
        <v>1410</v>
      </c>
      <c r="F3011" s="4" t="s">
        <v>8696</v>
      </c>
    </row>
    <row r="3012" spans="1:6" x14ac:dyDescent="0.25">
      <c r="A3012" s="4" t="str">
        <f>CONCATENATE("3071-0000-4632","")</f>
        <v>3071-0000-4632</v>
      </c>
      <c r="B3012" s="4" t="s">
        <v>9383</v>
      </c>
      <c r="C3012" s="5">
        <v>41489</v>
      </c>
      <c r="D3012" s="5">
        <v>41549</v>
      </c>
      <c r="E3012" s="4" t="s">
        <v>1410</v>
      </c>
      <c r="F3012" s="4" t="s">
        <v>8696</v>
      </c>
    </row>
    <row r="3013" spans="1:6" x14ac:dyDescent="0.25">
      <c r="A3013" s="4" t="str">
        <f>CONCATENATE("3071-0000-8751","")</f>
        <v>3071-0000-8751</v>
      </c>
      <c r="B3013" s="4" t="s">
        <v>6517</v>
      </c>
      <c r="C3013" s="5">
        <v>41489</v>
      </c>
      <c r="D3013" s="5">
        <v>41549</v>
      </c>
      <c r="E3013" s="4" t="s">
        <v>5185</v>
      </c>
      <c r="F3013" s="4" t="s">
        <v>5292</v>
      </c>
    </row>
    <row r="3014" spans="1:6" x14ac:dyDescent="0.25">
      <c r="A3014" s="4" t="str">
        <f>CONCATENATE("3071-0000-5692","")</f>
        <v>3071-0000-5692</v>
      </c>
      <c r="B3014" s="4" t="s">
        <v>7417</v>
      </c>
      <c r="C3014" s="5">
        <v>41489</v>
      </c>
      <c r="D3014" s="5">
        <v>41549</v>
      </c>
      <c r="E3014" s="4" t="s">
        <v>5185</v>
      </c>
      <c r="F3014" s="4" t="s">
        <v>5185</v>
      </c>
    </row>
    <row r="3015" spans="1:6" x14ac:dyDescent="0.25">
      <c r="A3015" s="4" t="str">
        <f>CONCATENATE("3071-0000-5996","")</f>
        <v>3071-0000-5996</v>
      </c>
      <c r="B3015" s="4" t="s">
        <v>7411</v>
      </c>
      <c r="C3015" s="5">
        <v>41489</v>
      </c>
      <c r="D3015" s="5">
        <v>41549</v>
      </c>
      <c r="E3015" s="4" t="s">
        <v>5185</v>
      </c>
      <c r="F3015" s="4" t="s">
        <v>5185</v>
      </c>
    </row>
    <row r="3016" spans="1:6" x14ac:dyDescent="0.25">
      <c r="A3016" s="4" t="str">
        <f>CONCATENATE("3071-0000-5694","")</f>
        <v>3071-0000-5694</v>
      </c>
      <c r="B3016" s="4" t="s">
        <v>7419</v>
      </c>
      <c r="C3016" s="5">
        <v>41489</v>
      </c>
      <c r="D3016" s="5">
        <v>41549</v>
      </c>
      <c r="E3016" s="4" t="s">
        <v>5185</v>
      </c>
      <c r="F3016" s="4" t="s">
        <v>5185</v>
      </c>
    </row>
    <row r="3017" spans="1:6" x14ac:dyDescent="0.25">
      <c r="A3017" s="4" t="str">
        <f>CONCATENATE("3071-0000-5693","")</f>
        <v>3071-0000-5693</v>
      </c>
      <c r="B3017" s="4" t="s">
        <v>7418</v>
      </c>
      <c r="C3017" s="5">
        <v>41489</v>
      </c>
      <c r="D3017" s="5">
        <v>41549</v>
      </c>
      <c r="E3017" s="4" t="s">
        <v>5185</v>
      </c>
      <c r="F3017" s="4" t="s">
        <v>5185</v>
      </c>
    </row>
    <row r="3018" spans="1:6" x14ac:dyDescent="0.25">
      <c r="A3018" s="4" t="str">
        <f>CONCATENATE("3071-0000-3410","")</f>
        <v>3071-0000-3410</v>
      </c>
      <c r="B3018" s="4" t="s">
        <v>1575</v>
      </c>
      <c r="C3018" s="5">
        <v>41489</v>
      </c>
      <c r="D3018" s="5">
        <v>41549</v>
      </c>
      <c r="E3018" s="4" t="s">
        <v>1410</v>
      </c>
      <c r="F3018" s="4" t="s">
        <v>1411</v>
      </c>
    </row>
    <row r="3019" spans="1:6" x14ac:dyDescent="0.25">
      <c r="A3019" s="4" t="str">
        <f>CONCATENATE("3071-0000-9053","")</f>
        <v>3071-0000-9053</v>
      </c>
      <c r="B3019" s="4" t="s">
        <v>5515</v>
      </c>
      <c r="C3019" s="5">
        <v>41489</v>
      </c>
      <c r="D3019" s="5">
        <v>41549</v>
      </c>
      <c r="E3019" s="4" t="s">
        <v>5185</v>
      </c>
      <c r="F3019" s="4" t="s">
        <v>5250</v>
      </c>
    </row>
    <row r="3020" spans="1:6" x14ac:dyDescent="0.25">
      <c r="A3020" s="4" t="str">
        <f>CONCATENATE("3071-0000-4507","")</f>
        <v>3071-0000-4507</v>
      </c>
      <c r="B3020" s="4" t="s">
        <v>9508</v>
      </c>
      <c r="C3020" s="5">
        <v>41489</v>
      </c>
      <c r="D3020" s="5">
        <v>41549</v>
      </c>
      <c r="E3020" s="4" t="s">
        <v>1410</v>
      </c>
      <c r="F3020" s="4" t="s">
        <v>8696</v>
      </c>
    </row>
    <row r="3021" spans="1:6" x14ac:dyDescent="0.25">
      <c r="A3021" s="4" t="str">
        <f>CONCATENATE("3071-0000-6464","")</f>
        <v>3071-0000-6464</v>
      </c>
      <c r="B3021" s="4" t="s">
        <v>8105</v>
      </c>
      <c r="C3021" s="5">
        <v>41489</v>
      </c>
      <c r="D3021" s="5">
        <v>41549</v>
      </c>
      <c r="E3021" s="4" t="s">
        <v>5185</v>
      </c>
      <c r="F3021" s="4" t="s">
        <v>5185</v>
      </c>
    </row>
    <row r="3022" spans="1:6" x14ac:dyDescent="0.25">
      <c r="A3022" s="4" t="str">
        <f>CONCATENATE("3071-0000-5363","")</f>
        <v>3071-0000-5363</v>
      </c>
      <c r="B3022" s="4" t="s">
        <v>6865</v>
      </c>
      <c r="C3022" s="5">
        <v>41489</v>
      </c>
      <c r="D3022" s="5">
        <v>41549</v>
      </c>
      <c r="E3022" s="4" t="s">
        <v>5185</v>
      </c>
      <c r="F3022" s="4" t="s">
        <v>5185</v>
      </c>
    </row>
    <row r="3023" spans="1:6" x14ac:dyDescent="0.25">
      <c r="A3023" s="4" t="str">
        <f>CONCATENATE("3071-0000-6451","")</f>
        <v>3071-0000-6451</v>
      </c>
      <c r="B3023" s="4" t="s">
        <v>8091</v>
      </c>
      <c r="C3023" s="5">
        <v>41489</v>
      </c>
      <c r="D3023" s="5">
        <v>41549</v>
      </c>
      <c r="E3023" s="4" t="s">
        <v>5185</v>
      </c>
      <c r="F3023" s="4" t="s">
        <v>5185</v>
      </c>
    </row>
    <row r="3024" spans="1:6" x14ac:dyDescent="0.25">
      <c r="A3024" s="4" t="str">
        <f>CONCATENATE("3071-0000-3817","")</f>
        <v>3071-0000-3817</v>
      </c>
      <c r="B3024" s="4" t="s">
        <v>3845</v>
      </c>
      <c r="C3024" s="5">
        <v>41489</v>
      </c>
      <c r="D3024" s="5">
        <v>41549</v>
      </c>
      <c r="E3024" s="4" t="s">
        <v>7</v>
      </c>
      <c r="F3024" s="4" t="s">
        <v>3818</v>
      </c>
    </row>
    <row r="3025" spans="1:6" x14ac:dyDescent="0.25">
      <c r="A3025" s="4" t="str">
        <f>CONCATENATE("3071-0000-2766","")</f>
        <v>3071-0000-2766</v>
      </c>
      <c r="B3025" s="4" t="s">
        <v>865</v>
      </c>
      <c r="C3025" s="5">
        <v>41489</v>
      </c>
      <c r="D3025" s="5">
        <v>41549</v>
      </c>
      <c r="E3025" s="4" t="s">
        <v>7</v>
      </c>
      <c r="F3025" s="4" t="s">
        <v>808</v>
      </c>
    </row>
    <row r="3026" spans="1:6" x14ac:dyDescent="0.25">
      <c r="A3026" s="4" t="str">
        <f>CONCATENATE("3071-0000-2768","")</f>
        <v>3071-0000-2768</v>
      </c>
      <c r="B3026" s="4" t="s">
        <v>872</v>
      </c>
      <c r="C3026" s="5">
        <v>41489</v>
      </c>
      <c r="D3026" s="5">
        <v>41549</v>
      </c>
      <c r="E3026" s="4" t="s">
        <v>7</v>
      </c>
      <c r="F3026" s="4" t="s">
        <v>808</v>
      </c>
    </row>
    <row r="3027" spans="1:6" x14ac:dyDescent="0.25">
      <c r="A3027" s="4" t="str">
        <f>CONCATENATE("3071-0000-7353","")</f>
        <v>3071-0000-7353</v>
      </c>
      <c r="B3027" s="4" t="s">
        <v>4290</v>
      </c>
      <c r="C3027" s="5">
        <v>41489</v>
      </c>
      <c r="D3027" s="5">
        <v>41549</v>
      </c>
      <c r="E3027" s="4" t="s">
        <v>1410</v>
      </c>
      <c r="F3027" s="4" t="s">
        <v>1410</v>
      </c>
    </row>
    <row r="3028" spans="1:6" x14ac:dyDescent="0.25">
      <c r="A3028" s="4" t="str">
        <f>CONCATENATE("3071-0000-3069","")</f>
        <v>3071-0000-3069</v>
      </c>
      <c r="B3028" s="4" t="s">
        <v>889</v>
      </c>
      <c r="C3028" s="5">
        <v>41489</v>
      </c>
      <c r="D3028" s="5">
        <v>41549</v>
      </c>
      <c r="E3028" s="4" t="s">
        <v>7</v>
      </c>
      <c r="F3028" s="4" t="s">
        <v>808</v>
      </c>
    </row>
    <row r="3029" spans="1:6" x14ac:dyDescent="0.25">
      <c r="A3029" s="4" t="str">
        <f>CONCATENATE("3071-0000-1867","")</f>
        <v>3071-0000-1867</v>
      </c>
      <c r="B3029" s="4" t="s">
        <v>2548</v>
      </c>
      <c r="C3029" s="5">
        <v>41489</v>
      </c>
      <c r="D3029" s="5">
        <v>41549</v>
      </c>
      <c r="E3029" s="4" t="s">
        <v>1381</v>
      </c>
      <c r="F3029" s="4" t="s">
        <v>2303</v>
      </c>
    </row>
    <row r="3030" spans="1:6" x14ac:dyDescent="0.25">
      <c r="A3030" s="4" t="str">
        <f>CONCATENATE("3071-0000-0827","")</f>
        <v>3071-0000-0827</v>
      </c>
      <c r="B3030" s="4" t="s">
        <v>2046</v>
      </c>
      <c r="C3030" s="5">
        <v>41489</v>
      </c>
      <c r="D3030" s="5">
        <v>41549</v>
      </c>
      <c r="E3030" s="4" t="s">
        <v>1857</v>
      </c>
      <c r="F3030" s="4" t="s">
        <v>1857</v>
      </c>
    </row>
    <row r="3031" spans="1:6" x14ac:dyDescent="0.25">
      <c r="A3031" s="4" t="str">
        <f>CONCATENATE("3071-0000-3039","")</f>
        <v>3071-0000-3039</v>
      </c>
      <c r="B3031" s="4" t="s">
        <v>856</v>
      </c>
      <c r="C3031" s="5">
        <v>41489</v>
      </c>
      <c r="D3031" s="5">
        <v>41549</v>
      </c>
      <c r="E3031" s="4" t="s">
        <v>7</v>
      </c>
      <c r="F3031" s="4" t="s">
        <v>808</v>
      </c>
    </row>
    <row r="3032" spans="1:6" x14ac:dyDescent="0.25">
      <c r="A3032" s="4" t="str">
        <f>CONCATENATE("3071-0000-7849","")</f>
        <v>3071-0000-7849</v>
      </c>
      <c r="B3032" s="4" t="s">
        <v>6196</v>
      </c>
      <c r="C3032" s="5">
        <v>41489</v>
      </c>
      <c r="D3032" s="5">
        <v>41549</v>
      </c>
      <c r="E3032" s="4" t="s">
        <v>5185</v>
      </c>
      <c r="F3032" s="4" t="s">
        <v>5185</v>
      </c>
    </row>
    <row r="3033" spans="1:6" x14ac:dyDescent="0.25">
      <c r="A3033" s="4" t="str">
        <f>CONCATENATE("3071-0000-0315","")</f>
        <v>3071-0000-0315</v>
      </c>
      <c r="B3033" s="4" t="s">
        <v>720</v>
      </c>
      <c r="C3033" s="5">
        <v>41489</v>
      </c>
      <c r="D3033" s="5">
        <v>41549</v>
      </c>
      <c r="E3033" s="4" t="s">
        <v>7</v>
      </c>
      <c r="F3033" s="4" t="s">
        <v>7</v>
      </c>
    </row>
    <row r="3034" spans="1:6" x14ac:dyDescent="0.25">
      <c r="A3034" s="4" t="str">
        <f>CONCATENATE("3071-0000-0637","")</f>
        <v>3071-0000-0637</v>
      </c>
      <c r="B3034" s="4" t="s">
        <v>325</v>
      </c>
      <c r="C3034" s="5">
        <v>41489</v>
      </c>
      <c r="D3034" s="5">
        <v>41549</v>
      </c>
      <c r="E3034" s="4" t="s">
        <v>7</v>
      </c>
      <c r="F3034" s="4" t="s">
        <v>273</v>
      </c>
    </row>
    <row r="3035" spans="1:6" x14ac:dyDescent="0.25">
      <c r="A3035" s="4" t="str">
        <f>CONCATENATE("3071-0000-9121","")</f>
        <v>3071-0000-9121</v>
      </c>
      <c r="B3035" s="4" t="s">
        <v>5786</v>
      </c>
      <c r="C3035" s="5">
        <v>41489</v>
      </c>
      <c r="D3035" s="5">
        <v>41549</v>
      </c>
      <c r="E3035" s="4" t="s">
        <v>5185</v>
      </c>
      <c r="F3035" s="4" t="s">
        <v>5763</v>
      </c>
    </row>
    <row r="3036" spans="1:6" x14ac:dyDescent="0.25">
      <c r="A3036" s="4" t="str">
        <f>CONCATENATE("3071-0000-8185","")</f>
        <v>3071-0000-8185</v>
      </c>
      <c r="B3036" s="4" t="s">
        <v>5783</v>
      </c>
      <c r="C3036" s="5">
        <v>41489</v>
      </c>
      <c r="D3036" s="5">
        <v>41549</v>
      </c>
      <c r="E3036" s="4" t="s">
        <v>5185</v>
      </c>
      <c r="F3036" s="4" t="s">
        <v>5185</v>
      </c>
    </row>
    <row r="3037" spans="1:6" x14ac:dyDescent="0.25">
      <c r="A3037" s="4" t="str">
        <f>CONCATENATE("3071-0000-0314","")</f>
        <v>3071-0000-0314</v>
      </c>
      <c r="B3037" s="4" t="s">
        <v>546</v>
      </c>
      <c r="C3037" s="5">
        <v>41489</v>
      </c>
      <c r="D3037" s="5">
        <v>41549</v>
      </c>
      <c r="E3037" s="4" t="s">
        <v>7</v>
      </c>
      <c r="F3037" s="4" t="s">
        <v>7</v>
      </c>
    </row>
    <row r="3038" spans="1:6" x14ac:dyDescent="0.25">
      <c r="A3038" s="4" t="str">
        <f>CONCATENATE("3071-0000-0341","")</f>
        <v>3071-0000-0341</v>
      </c>
      <c r="B3038" s="4" t="s">
        <v>288</v>
      </c>
      <c r="C3038" s="5">
        <v>41489</v>
      </c>
      <c r="D3038" s="5">
        <v>41549</v>
      </c>
      <c r="E3038" s="4" t="s">
        <v>7</v>
      </c>
      <c r="F3038" s="4" t="s">
        <v>7</v>
      </c>
    </row>
    <row r="3039" spans="1:6" x14ac:dyDescent="0.25">
      <c r="A3039" s="4" t="str">
        <f>CONCATENATE("3071-0000-3068","")</f>
        <v>3071-0000-3068</v>
      </c>
      <c r="B3039" s="4" t="s">
        <v>882</v>
      </c>
      <c r="C3039" s="5">
        <v>41489</v>
      </c>
      <c r="D3039" s="5">
        <v>41549</v>
      </c>
      <c r="E3039" s="4" t="s">
        <v>7</v>
      </c>
      <c r="F3039" s="4" t="s">
        <v>808</v>
      </c>
    </row>
    <row r="3040" spans="1:6" x14ac:dyDescent="0.25">
      <c r="A3040" s="4" t="str">
        <f>CONCATENATE("3071-0000-0825","")</f>
        <v>3071-0000-0825</v>
      </c>
      <c r="B3040" s="4" t="s">
        <v>1885</v>
      </c>
      <c r="C3040" s="5">
        <v>41489</v>
      </c>
      <c r="D3040" s="5">
        <v>41549</v>
      </c>
      <c r="E3040" s="4" t="s">
        <v>1857</v>
      </c>
      <c r="F3040" s="4" t="s">
        <v>1857</v>
      </c>
    </row>
    <row r="3041" spans="1:6" x14ac:dyDescent="0.25">
      <c r="A3041" s="4" t="str">
        <f>CONCATENATE("3071-0000-0863","")</f>
        <v>3071-0000-0863</v>
      </c>
      <c r="B3041" s="4" t="s">
        <v>1960</v>
      </c>
      <c r="C3041" s="5">
        <v>41489</v>
      </c>
      <c r="D3041" s="5">
        <v>41549</v>
      </c>
      <c r="E3041" s="4" t="s">
        <v>1857</v>
      </c>
      <c r="F3041" s="4" t="s">
        <v>1857</v>
      </c>
    </row>
    <row r="3042" spans="1:6" x14ac:dyDescent="0.25">
      <c r="A3042" s="4" t="str">
        <f>CONCATENATE("3071-0000-8981","")</f>
        <v>3071-0000-8981</v>
      </c>
      <c r="B3042" s="4" t="s">
        <v>6333</v>
      </c>
      <c r="C3042" s="5">
        <v>41489</v>
      </c>
      <c r="D3042" s="5">
        <v>41549</v>
      </c>
      <c r="E3042" s="4" t="s">
        <v>5185</v>
      </c>
      <c r="F3042" s="4" t="s">
        <v>5292</v>
      </c>
    </row>
    <row r="3043" spans="1:6" x14ac:dyDescent="0.25">
      <c r="A3043" s="4" t="str">
        <f>CONCATENATE("3071-0000-9042","")</f>
        <v>3071-0000-9042</v>
      </c>
      <c r="B3043" s="4" t="s">
        <v>6496</v>
      </c>
      <c r="C3043" s="5">
        <v>41489</v>
      </c>
      <c r="D3043" s="5">
        <v>41549</v>
      </c>
      <c r="E3043" s="4" t="s">
        <v>5185</v>
      </c>
      <c r="F3043" s="4" t="s">
        <v>5292</v>
      </c>
    </row>
    <row r="3044" spans="1:6" x14ac:dyDescent="0.25">
      <c r="A3044" s="4" t="str">
        <f>CONCATENATE("3071-0000-9148","")</f>
        <v>3071-0000-9148</v>
      </c>
      <c r="B3044" s="4" t="s">
        <v>6499</v>
      </c>
      <c r="C3044" s="5">
        <v>41489</v>
      </c>
      <c r="D3044" s="5">
        <v>41549</v>
      </c>
      <c r="E3044" s="4" t="s">
        <v>5185</v>
      </c>
      <c r="F3044" s="4" t="s">
        <v>5292</v>
      </c>
    </row>
    <row r="3045" spans="1:6" x14ac:dyDescent="0.25">
      <c r="A3045" s="4" t="str">
        <f>CONCATENATE("3071-0000-8703","")</f>
        <v>3071-0000-8703</v>
      </c>
      <c r="B3045" s="4" t="s">
        <v>6476</v>
      </c>
      <c r="C3045" s="5">
        <v>41489</v>
      </c>
      <c r="D3045" s="5">
        <v>41549</v>
      </c>
      <c r="E3045" s="4" t="s">
        <v>5185</v>
      </c>
      <c r="F3045" s="4" t="s">
        <v>5292</v>
      </c>
    </row>
    <row r="3046" spans="1:6" x14ac:dyDescent="0.25">
      <c r="A3046" s="4" t="str">
        <f>CONCATENATE("3071-0000-8704","")</f>
        <v>3071-0000-8704</v>
      </c>
      <c r="B3046" s="4" t="s">
        <v>6483</v>
      </c>
      <c r="C3046" s="5">
        <v>41489</v>
      </c>
      <c r="D3046" s="5">
        <v>41549</v>
      </c>
      <c r="E3046" s="4" t="s">
        <v>5185</v>
      </c>
      <c r="F3046" s="4" t="s">
        <v>5292</v>
      </c>
    </row>
    <row r="3047" spans="1:6" x14ac:dyDescent="0.25">
      <c r="A3047" s="4" t="str">
        <f>CONCATENATE("3071-0000-6866","")</f>
        <v>3071-0000-6866</v>
      </c>
      <c r="B3047" s="4" t="s">
        <v>4898</v>
      </c>
      <c r="C3047" s="5">
        <v>41489</v>
      </c>
      <c r="D3047" s="5">
        <v>41549</v>
      </c>
      <c r="E3047" s="4" t="s">
        <v>1410</v>
      </c>
      <c r="F3047" s="4" t="s">
        <v>4616</v>
      </c>
    </row>
    <row r="3048" spans="1:6" x14ac:dyDescent="0.25">
      <c r="A3048" s="4" t="str">
        <f>CONCATENATE("3071-0000-6268","")</f>
        <v>3071-0000-6268</v>
      </c>
      <c r="B3048" s="4" t="s">
        <v>7068</v>
      </c>
      <c r="C3048" s="5">
        <v>41489</v>
      </c>
      <c r="D3048" s="5">
        <v>41549</v>
      </c>
      <c r="E3048" s="4" t="s">
        <v>7069</v>
      </c>
      <c r="F3048" s="4" t="s">
        <v>7070</v>
      </c>
    </row>
    <row r="3049" spans="1:6" x14ac:dyDescent="0.25">
      <c r="A3049" s="4" t="str">
        <f>CONCATENATE("3071-0000-0777","")</f>
        <v>3071-0000-0777</v>
      </c>
      <c r="B3049" s="4" t="s">
        <v>393</v>
      </c>
      <c r="C3049" s="5">
        <v>41489</v>
      </c>
      <c r="D3049" s="5">
        <v>41549</v>
      </c>
      <c r="E3049" s="4" t="s">
        <v>7</v>
      </c>
      <c r="F3049" s="4" t="s">
        <v>273</v>
      </c>
    </row>
    <row r="3050" spans="1:6" x14ac:dyDescent="0.25">
      <c r="A3050" s="4" t="str">
        <f>CONCATENATE("3071-0000-3127","")</f>
        <v>3071-0000-3127</v>
      </c>
      <c r="B3050" s="4" t="s">
        <v>1371</v>
      </c>
      <c r="C3050" s="5">
        <v>41489</v>
      </c>
      <c r="D3050" s="5">
        <v>41549</v>
      </c>
      <c r="E3050" s="4" t="s">
        <v>7</v>
      </c>
      <c r="F3050" s="4" t="s">
        <v>982</v>
      </c>
    </row>
    <row r="3051" spans="1:6" x14ac:dyDescent="0.25">
      <c r="A3051" s="4" t="str">
        <f>CONCATENATE("3071-0000-3730","")</f>
        <v>3071-0000-3730</v>
      </c>
      <c r="B3051" s="4" t="s">
        <v>1658</v>
      </c>
      <c r="C3051" s="5">
        <v>41489</v>
      </c>
      <c r="D3051" s="5">
        <v>41549</v>
      </c>
      <c r="E3051" s="4" t="s">
        <v>1410</v>
      </c>
      <c r="F3051" s="4" t="s">
        <v>1601</v>
      </c>
    </row>
    <row r="3052" spans="1:6" x14ac:dyDescent="0.25">
      <c r="A3052" s="4" t="str">
        <f>CONCATENATE("3071-0000-1175","")</f>
        <v>3071-0000-1175</v>
      </c>
      <c r="B3052" s="4" t="s">
        <v>1970</v>
      </c>
      <c r="C3052" s="5">
        <v>41489</v>
      </c>
      <c r="D3052" s="5">
        <v>41549</v>
      </c>
      <c r="E3052" s="4" t="s">
        <v>1857</v>
      </c>
      <c r="F3052" s="4" t="s">
        <v>1857</v>
      </c>
    </row>
    <row r="3053" spans="1:6" x14ac:dyDescent="0.25">
      <c r="A3053" s="4" t="str">
        <f>CONCATENATE("3071-0000-0998","")</f>
        <v>3071-0000-0998</v>
      </c>
      <c r="B3053" s="4" t="s">
        <v>2220</v>
      </c>
      <c r="C3053" s="5">
        <v>41489</v>
      </c>
      <c r="D3053" s="5">
        <v>41549</v>
      </c>
      <c r="E3053" s="4" t="s">
        <v>1857</v>
      </c>
      <c r="F3053" s="4" t="s">
        <v>1857</v>
      </c>
    </row>
    <row r="3054" spans="1:6" x14ac:dyDescent="0.25">
      <c r="A3054" s="4" t="str">
        <f>CONCATENATE("3071-0000-3013","")</f>
        <v>3071-0000-3013</v>
      </c>
      <c r="B3054" s="4" t="s">
        <v>863</v>
      </c>
      <c r="C3054" s="5">
        <v>41489</v>
      </c>
      <c r="D3054" s="5">
        <v>41549</v>
      </c>
      <c r="E3054" s="4" t="s">
        <v>7</v>
      </c>
      <c r="F3054" s="4" t="s">
        <v>808</v>
      </c>
    </row>
    <row r="3055" spans="1:6" x14ac:dyDescent="0.25">
      <c r="A3055" s="4" t="str">
        <f>CONCATENATE("3071-0000-3733","")</f>
        <v>3071-0000-3733</v>
      </c>
      <c r="B3055" s="4" t="s">
        <v>1661</v>
      </c>
      <c r="C3055" s="5">
        <v>41489</v>
      </c>
      <c r="D3055" s="5">
        <v>41549</v>
      </c>
      <c r="E3055" s="4" t="s">
        <v>1410</v>
      </c>
      <c r="F3055" s="4" t="s">
        <v>1601</v>
      </c>
    </row>
    <row r="3056" spans="1:6" x14ac:dyDescent="0.25">
      <c r="A3056" s="4" t="str">
        <f>CONCATENATE("3071-0000-2684","")</f>
        <v>3071-0000-2684</v>
      </c>
      <c r="B3056" s="4" t="s">
        <v>3276</v>
      </c>
      <c r="C3056" s="5">
        <v>41489</v>
      </c>
      <c r="D3056" s="5">
        <v>41549</v>
      </c>
      <c r="E3056" s="4" t="s">
        <v>2944</v>
      </c>
      <c r="F3056" s="4" t="s">
        <v>3164</v>
      </c>
    </row>
    <row r="3057" spans="1:6" x14ac:dyDescent="0.25">
      <c r="A3057" s="4" t="str">
        <f>CONCATENATE("3071-0000-3932","")</f>
        <v>3071-0000-3932</v>
      </c>
      <c r="B3057" s="4" t="s">
        <v>4081</v>
      </c>
      <c r="C3057" s="5">
        <v>41489</v>
      </c>
      <c r="D3057" s="5">
        <v>41549</v>
      </c>
      <c r="E3057" s="4" t="s">
        <v>1381</v>
      </c>
      <c r="F3057" s="4" t="s">
        <v>4057</v>
      </c>
    </row>
    <row r="3058" spans="1:6" x14ac:dyDescent="0.25">
      <c r="A3058" s="4" t="str">
        <f>CONCATENATE("3071-0000-0766","")</f>
        <v>3071-0000-0766</v>
      </c>
      <c r="B3058" s="4" t="s">
        <v>361</v>
      </c>
      <c r="C3058" s="5">
        <v>41489</v>
      </c>
      <c r="D3058" s="5">
        <v>41549</v>
      </c>
      <c r="E3058" s="4" t="s">
        <v>7</v>
      </c>
      <c r="F3058" s="4" t="s">
        <v>273</v>
      </c>
    </row>
    <row r="3059" spans="1:6" x14ac:dyDescent="0.25">
      <c r="A3059" s="4" t="str">
        <f>CONCATENATE("3071-0000-1539","")</f>
        <v>3071-0000-1539</v>
      </c>
      <c r="B3059" s="4" t="s">
        <v>2757</v>
      </c>
      <c r="C3059" s="5">
        <v>41489</v>
      </c>
      <c r="D3059" s="5">
        <v>41549</v>
      </c>
      <c r="E3059" s="4" t="s">
        <v>1381</v>
      </c>
      <c r="F3059" s="4" t="s">
        <v>2303</v>
      </c>
    </row>
    <row r="3060" spans="1:6" x14ac:dyDescent="0.25">
      <c r="A3060" s="4" t="str">
        <f>CONCATENATE("3071-0000-0443","")</f>
        <v>3071-0000-0443</v>
      </c>
      <c r="B3060" s="4" t="s">
        <v>402</v>
      </c>
      <c r="C3060" s="5">
        <v>41489</v>
      </c>
      <c r="D3060" s="5">
        <v>41549</v>
      </c>
      <c r="E3060" s="4" t="s">
        <v>7</v>
      </c>
      <c r="F3060" s="4" t="s">
        <v>7</v>
      </c>
    </row>
    <row r="3061" spans="1:6" x14ac:dyDescent="0.25">
      <c r="A3061" s="4" t="str">
        <f>CONCATENATE("3071-0000-6903","")</f>
        <v>3071-0000-6903</v>
      </c>
      <c r="B3061" s="4" t="s">
        <v>4271</v>
      </c>
      <c r="C3061" s="5">
        <v>41489</v>
      </c>
      <c r="D3061" s="5">
        <v>41549</v>
      </c>
      <c r="E3061" s="4" t="s">
        <v>1410</v>
      </c>
      <c r="F3061" s="4" t="s">
        <v>1410</v>
      </c>
    </row>
    <row r="3062" spans="1:6" x14ac:dyDescent="0.25">
      <c r="A3062" s="4" t="str">
        <f>CONCATENATE("3071-0000-8267","")</f>
        <v>3071-0000-8267</v>
      </c>
      <c r="B3062" s="4" t="s">
        <v>5397</v>
      </c>
      <c r="C3062" s="5">
        <v>41489</v>
      </c>
      <c r="D3062" s="5">
        <v>41549</v>
      </c>
      <c r="E3062" s="4" t="s">
        <v>5185</v>
      </c>
      <c r="F3062" s="4" t="s">
        <v>5185</v>
      </c>
    </row>
    <row r="3063" spans="1:6" x14ac:dyDescent="0.25">
      <c r="A3063" s="4" t="str">
        <f>CONCATENATE("3071-0000-0872","")</f>
        <v>3071-0000-0872</v>
      </c>
      <c r="B3063" s="4" t="s">
        <v>1980</v>
      </c>
      <c r="C3063" s="5">
        <v>41489</v>
      </c>
      <c r="D3063" s="5">
        <v>41549</v>
      </c>
      <c r="E3063" s="4" t="s">
        <v>1857</v>
      </c>
      <c r="F3063" s="4" t="s">
        <v>1857</v>
      </c>
    </row>
    <row r="3064" spans="1:6" x14ac:dyDescent="0.25">
      <c r="A3064" s="4" t="str">
        <f>CONCATENATE("3071-0000-3804","")</f>
        <v>3071-0000-3804</v>
      </c>
      <c r="B3064" s="4" t="s">
        <v>3830</v>
      </c>
      <c r="C3064" s="5">
        <v>41489</v>
      </c>
      <c r="D3064" s="5">
        <v>41549</v>
      </c>
      <c r="E3064" s="4" t="s">
        <v>7</v>
      </c>
      <c r="F3064" s="4" t="s">
        <v>3818</v>
      </c>
    </row>
    <row r="3065" spans="1:6" x14ac:dyDescent="0.25">
      <c r="A3065" s="4" t="str">
        <f>CONCATENATE("3071-0000-0836","")</f>
        <v>3071-0000-0836</v>
      </c>
      <c r="B3065" s="4" t="s">
        <v>1903</v>
      </c>
      <c r="C3065" s="5">
        <v>41489</v>
      </c>
      <c r="D3065" s="5">
        <v>41549</v>
      </c>
      <c r="E3065" s="4" t="s">
        <v>1857</v>
      </c>
      <c r="F3065" s="4" t="s">
        <v>1857</v>
      </c>
    </row>
    <row r="3066" spans="1:6" x14ac:dyDescent="0.25">
      <c r="A3066" s="4" t="str">
        <f>CONCATENATE("3071-0000-1306","")</f>
        <v>3071-0000-1306</v>
      </c>
      <c r="B3066" s="4" t="s">
        <v>2421</v>
      </c>
      <c r="C3066" s="5">
        <v>41489</v>
      </c>
      <c r="D3066" s="5">
        <v>41549</v>
      </c>
      <c r="E3066" s="4" t="s">
        <v>1381</v>
      </c>
      <c r="F3066" s="4" t="s">
        <v>2303</v>
      </c>
    </row>
    <row r="3067" spans="1:6" x14ac:dyDescent="0.25">
      <c r="A3067" s="4" t="str">
        <f>CONCATENATE("3071-0000-8040","")</f>
        <v>3071-0000-8040</v>
      </c>
      <c r="B3067" s="4" t="s">
        <v>5773</v>
      </c>
      <c r="C3067" s="5">
        <v>41489</v>
      </c>
      <c r="D3067" s="5">
        <v>41549</v>
      </c>
      <c r="E3067" s="4" t="s">
        <v>5185</v>
      </c>
      <c r="F3067" s="4" t="s">
        <v>5185</v>
      </c>
    </row>
    <row r="3068" spans="1:6" x14ac:dyDescent="0.25">
      <c r="A3068" s="4" t="str">
        <f>CONCATENATE("3071-0000-5359","")</f>
        <v>3071-0000-5359</v>
      </c>
      <c r="B3068" s="4" t="s">
        <v>6861</v>
      </c>
      <c r="C3068" s="5">
        <v>41489</v>
      </c>
      <c r="D3068" s="5">
        <v>41549</v>
      </c>
      <c r="E3068" s="4" t="s">
        <v>5185</v>
      </c>
      <c r="F3068" s="4" t="s">
        <v>5185</v>
      </c>
    </row>
    <row r="3069" spans="1:6" x14ac:dyDescent="0.25">
      <c r="A3069" s="4" t="str">
        <f>CONCATENATE("3071-0000-0577","")</f>
        <v>3071-0000-0577</v>
      </c>
      <c r="B3069" s="4" t="s">
        <v>373</v>
      </c>
      <c r="C3069" s="5">
        <v>41489</v>
      </c>
      <c r="D3069" s="5">
        <v>41549</v>
      </c>
      <c r="E3069" s="4" t="s">
        <v>7</v>
      </c>
      <c r="F3069" s="4" t="s">
        <v>7</v>
      </c>
    </row>
    <row r="3070" spans="1:6" x14ac:dyDescent="0.25">
      <c r="A3070" s="4" t="str">
        <f>CONCATENATE("3071-0000-0163","")</f>
        <v>3071-0000-0163</v>
      </c>
      <c r="B3070" s="4" t="s">
        <v>347</v>
      </c>
      <c r="C3070" s="5">
        <v>41489</v>
      </c>
      <c r="D3070" s="5">
        <v>41549</v>
      </c>
      <c r="E3070" s="4" t="s">
        <v>7</v>
      </c>
      <c r="F3070" s="4" t="s">
        <v>7</v>
      </c>
    </row>
    <row r="3071" spans="1:6" x14ac:dyDescent="0.25">
      <c r="A3071" s="4" t="str">
        <f>CONCATENATE("3071-0000-2967","")</f>
        <v>3071-0000-2967</v>
      </c>
      <c r="B3071" s="4" t="s">
        <v>868</v>
      </c>
      <c r="C3071" s="5">
        <v>41489</v>
      </c>
      <c r="D3071" s="5">
        <v>41549</v>
      </c>
      <c r="E3071" s="4" t="s">
        <v>7</v>
      </c>
      <c r="F3071" s="4" t="s">
        <v>808</v>
      </c>
    </row>
    <row r="3072" spans="1:6" x14ac:dyDescent="0.25">
      <c r="A3072" s="4" t="str">
        <f>CONCATENATE("3071-0000-8061","")</f>
        <v>3071-0000-8061</v>
      </c>
      <c r="B3072" s="4" t="s">
        <v>5902</v>
      </c>
      <c r="C3072" s="5">
        <v>41489</v>
      </c>
      <c r="D3072" s="5">
        <v>41549</v>
      </c>
      <c r="E3072" s="4" t="s">
        <v>5185</v>
      </c>
      <c r="F3072" s="4" t="s">
        <v>5185</v>
      </c>
    </row>
    <row r="3073" spans="1:6" x14ac:dyDescent="0.25">
      <c r="A3073" s="4" t="str">
        <f>CONCATENATE("3071-0000-8187","")</f>
        <v>3071-0000-8187</v>
      </c>
      <c r="B3073" s="4" t="s">
        <v>5898</v>
      </c>
      <c r="C3073" s="5">
        <v>41489</v>
      </c>
      <c r="D3073" s="5">
        <v>41549</v>
      </c>
      <c r="E3073" s="4" t="s">
        <v>5185</v>
      </c>
      <c r="F3073" s="4" t="s">
        <v>5185</v>
      </c>
    </row>
    <row r="3074" spans="1:6" x14ac:dyDescent="0.25">
      <c r="A3074" s="4" t="str">
        <f>CONCATENATE("3071-0000-8820","")</f>
        <v>3071-0000-8820</v>
      </c>
      <c r="B3074" s="4" t="s">
        <v>5925</v>
      </c>
      <c r="C3074" s="5">
        <v>41489</v>
      </c>
      <c r="D3074" s="5">
        <v>41549</v>
      </c>
      <c r="E3074" s="4" t="s">
        <v>5185</v>
      </c>
      <c r="F3074" s="4" t="s">
        <v>4188</v>
      </c>
    </row>
    <row r="3075" spans="1:6" x14ac:dyDescent="0.25">
      <c r="A3075" s="4" t="str">
        <f>CONCATENATE("3071-0000-3102","")</f>
        <v>3071-0000-3102</v>
      </c>
      <c r="B3075" s="4" t="s">
        <v>9697</v>
      </c>
      <c r="C3075" s="5">
        <v>41489</v>
      </c>
      <c r="D3075" s="5">
        <v>41549</v>
      </c>
      <c r="E3075" s="4" t="s">
        <v>7</v>
      </c>
      <c r="F3075" s="4" t="s">
        <v>808</v>
      </c>
    </row>
    <row r="3076" spans="1:6" x14ac:dyDescent="0.25">
      <c r="A3076" s="4" t="str">
        <f>CONCATENATE("3071-0000-1621","")</f>
        <v>3071-0000-1621</v>
      </c>
      <c r="B3076" s="4" t="s">
        <v>2538</v>
      </c>
      <c r="C3076" s="5">
        <v>41489</v>
      </c>
      <c r="D3076" s="5">
        <v>41549</v>
      </c>
      <c r="E3076" s="4" t="s">
        <v>1381</v>
      </c>
      <c r="F3076" s="4" t="s">
        <v>2303</v>
      </c>
    </row>
    <row r="3077" spans="1:6" x14ac:dyDescent="0.25">
      <c r="A3077" s="4" t="str">
        <f>CONCATENATE("3071-0000-3837","")</f>
        <v>3071-0000-3837</v>
      </c>
      <c r="B3077" s="4" t="s">
        <v>3888</v>
      </c>
      <c r="C3077" s="5">
        <v>41489</v>
      </c>
      <c r="D3077" s="5">
        <v>41549</v>
      </c>
      <c r="E3077" s="4" t="s">
        <v>2944</v>
      </c>
      <c r="F3077" s="4" t="s">
        <v>3513</v>
      </c>
    </row>
    <row r="3078" spans="1:6" x14ac:dyDescent="0.25">
      <c r="A3078" s="4" t="str">
        <f>CONCATENATE("3071-0000-6898","")</f>
        <v>3071-0000-6898</v>
      </c>
      <c r="B3078" s="4" t="s">
        <v>4493</v>
      </c>
      <c r="C3078" s="5">
        <v>41489</v>
      </c>
      <c r="D3078" s="5">
        <v>41549</v>
      </c>
      <c r="E3078" s="4" t="s">
        <v>1410</v>
      </c>
      <c r="F3078" s="4" t="s">
        <v>1410</v>
      </c>
    </row>
    <row r="3079" spans="1:6" x14ac:dyDescent="0.25">
      <c r="A3079" s="4" t="str">
        <f>CONCATENATE("3071-0000-0673","")</f>
        <v>3071-0000-0673</v>
      </c>
      <c r="B3079" s="4" t="s">
        <v>687</v>
      </c>
      <c r="C3079" s="5">
        <v>41489</v>
      </c>
      <c r="D3079" s="5">
        <v>41549</v>
      </c>
      <c r="E3079" s="4" t="s">
        <v>7</v>
      </c>
      <c r="F3079" s="4" t="s">
        <v>7</v>
      </c>
    </row>
    <row r="3080" spans="1:6" x14ac:dyDescent="0.25">
      <c r="A3080" s="4" t="str">
        <f>CONCATENATE("3071-0000-0720","")</f>
        <v>3071-0000-0720</v>
      </c>
      <c r="B3080" s="4" t="s">
        <v>750</v>
      </c>
      <c r="C3080" s="5">
        <v>41489</v>
      </c>
      <c r="D3080" s="5">
        <v>41549</v>
      </c>
      <c r="E3080" s="4" t="s">
        <v>7</v>
      </c>
      <c r="F3080" s="4" t="s">
        <v>273</v>
      </c>
    </row>
    <row r="3081" spans="1:6" x14ac:dyDescent="0.25">
      <c r="A3081" s="4" t="str">
        <f>CONCATENATE("3071-0000-1532","")</f>
        <v>3071-0000-1532</v>
      </c>
      <c r="B3081" s="4" t="s">
        <v>2762</v>
      </c>
      <c r="C3081" s="5">
        <v>41489</v>
      </c>
      <c r="D3081" s="5">
        <v>41549</v>
      </c>
      <c r="E3081" s="4" t="s">
        <v>1381</v>
      </c>
      <c r="F3081" s="4" t="s">
        <v>2303</v>
      </c>
    </row>
    <row r="3082" spans="1:6" x14ac:dyDescent="0.25">
      <c r="A3082" s="4" t="str">
        <f>CONCATENATE("3071-0000-0610","")</f>
        <v>3071-0000-0610</v>
      </c>
      <c r="B3082" s="4" t="s">
        <v>492</v>
      </c>
      <c r="C3082" s="5">
        <v>41489</v>
      </c>
      <c r="D3082" s="5">
        <v>41549</v>
      </c>
      <c r="E3082" s="4" t="s">
        <v>7</v>
      </c>
      <c r="F3082" s="4" t="s">
        <v>7</v>
      </c>
    </row>
    <row r="3083" spans="1:6" x14ac:dyDescent="0.25">
      <c r="A3083" s="4" t="str">
        <f>CONCATENATE("3071-0000-3774","")</f>
        <v>3071-0000-3774</v>
      </c>
      <c r="B3083" s="4" t="s">
        <v>1418</v>
      </c>
      <c r="C3083" s="5">
        <v>41489</v>
      </c>
      <c r="D3083" s="5">
        <v>41549</v>
      </c>
      <c r="E3083" s="4" t="s">
        <v>7</v>
      </c>
      <c r="F3083" s="4" t="s">
        <v>1419</v>
      </c>
    </row>
    <row r="3084" spans="1:6" x14ac:dyDescent="0.25">
      <c r="A3084" s="4" t="str">
        <f>CONCATENATE("3071-0000-4069","")</f>
        <v>3071-0000-4069</v>
      </c>
      <c r="B3084" s="4" t="s">
        <v>3962</v>
      </c>
      <c r="C3084" s="5">
        <v>41489</v>
      </c>
      <c r="D3084" s="5">
        <v>41549</v>
      </c>
      <c r="E3084" s="4" t="s">
        <v>7</v>
      </c>
      <c r="F3084" s="4" t="s">
        <v>1419</v>
      </c>
    </row>
    <row r="3085" spans="1:6" x14ac:dyDescent="0.25">
      <c r="A3085" s="4" t="str">
        <f>CONCATENATE("3071-0000-5512","")</f>
        <v>3071-0000-5512</v>
      </c>
      <c r="B3085" s="4" t="s">
        <v>6809</v>
      </c>
      <c r="C3085" s="5">
        <v>41489</v>
      </c>
      <c r="D3085" s="5">
        <v>41549</v>
      </c>
      <c r="E3085" s="4" t="s">
        <v>1410</v>
      </c>
      <c r="F3085" s="4" t="s">
        <v>6635</v>
      </c>
    </row>
    <row r="3086" spans="1:6" x14ac:dyDescent="0.25">
      <c r="A3086" s="4" t="str">
        <f>CONCATENATE("3071-0000-1684","")</f>
        <v>3071-0000-1684</v>
      </c>
      <c r="B3086" s="4" t="s">
        <v>2608</v>
      </c>
      <c r="C3086" s="5">
        <v>41489</v>
      </c>
      <c r="D3086" s="5">
        <v>41549</v>
      </c>
      <c r="E3086" s="4" t="s">
        <v>1381</v>
      </c>
      <c r="F3086" s="4" t="s">
        <v>2303</v>
      </c>
    </row>
    <row r="3087" spans="1:6" x14ac:dyDescent="0.25">
      <c r="A3087" s="4" t="str">
        <f>CONCATENATE("3071-0000-3952","")</f>
        <v>3071-0000-3952</v>
      </c>
      <c r="B3087" s="4" t="s">
        <v>3943</v>
      </c>
      <c r="C3087" s="5">
        <v>41489</v>
      </c>
      <c r="D3087" s="5">
        <v>41549</v>
      </c>
      <c r="E3087" s="4" t="s">
        <v>2944</v>
      </c>
      <c r="F3087" s="4" t="s">
        <v>3513</v>
      </c>
    </row>
    <row r="3088" spans="1:6" x14ac:dyDescent="0.25">
      <c r="A3088" s="4" t="str">
        <f>CONCATENATE("3071-0000-1529","")</f>
        <v>3071-0000-1529</v>
      </c>
      <c r="B3088" s="4" t="s">
        <v>2750</v>
      </c>
      <c r="C3088" s="5">
        <v>41489</v>
      </c>
      <c r="D3088" s="5">
        <v>41549</v>
      </c>
      <c r="E3088" s="4" t="s">
        <v>1381</v>
      </c>
      <c r="F3088" s="4" t="s">
        <v>2303</v>
      </c>
    </row>
    <row r="3089" spans="1:6" x14ac:dyDescent="0.25">
      <c r="A3089" s="4" t="str">
        <f>CONCATENATE("3071-0000-4011","")</f>
        <v>3071-0000-4011</v>
      </c>
      <c r="B3089" s="4" t="s">
        <v>4205</v>
      </c>
      <c r="C3089" s="5">
        <v>41489</v>
      </c>
      <c r="D3089" s="5">
        <v>41549</v>
      </c>
      <c r="E3089" s="4" t="s">
        <v>7</v>
      </c>
      <c r="F3089" s="4" t="s">
        <v>1419</v>
      </c>
    </row>
    <row r="3090" spans="1:6" x14ac:dyDescent="0.25">
      <c r="A3090" s="4" t="str">
        <f>CONCATENATE("3071-0000-4018","")</f>
        <v>3071-0000-4018</v>
      </c>
      <c r="B3090" s="4" t="s">
        <v>4217</v>
      </c>
      <c r="C3090" s="5">
        <v>41489</v>
      </c>
      <c r="D3090" s="5">
        <v>41549</v>
      </c>
      <c r="E3090" s="4" t="s">
        <v>7</v>
      </c>
      <c r="F3090" s="4" t="s">
        <v>1419</v>
      </c>
    </row>
    <row r="3091" spans="1:6" x14ac:dyDescent="0.25">
      <c r="A3091" s="4" t="str">
        <f>CONCATENATE("3071-0000-4131","")</f>
        <v>3071-0000-4131</v>
      </c>
      <c r="B3091" s="4" t="s">
        <v>4258</v>
      </c>
      <c r="C3091" s="5">
        <v>41489</v>
      </c>
      <c r="D3091" s="5">
        <v>41549</v>
      </c>
      <c r="E3091" s="4" t="s">
        <v>7</v>
      </c>
      <c r="F3091" s="4" t="s">
        <v>1419</v>
      </c>
    </row>
    <row r="3092" spans="1:6" x14ac:dyDescent="0.25">
      <c r="A3092" s="4" t="str">
        <f>CONCATENATE("3071-0000-7462","")</f>
        <v>3071-0000-7462</v>
      </c>
      <c r="B3092" s="4" t="s">
        <v>4539</v>
      </c>
      <c r="C3092" s="5">
        <v>41489</v>
      </c>
      <c r="D3092" s="5">
        <v>41549</v>
      </c>
      <c r="E3092" s="4" t="s">
        <v>1410</v>
      </c>
      <c r="F3092" s="4" t="s">
        <v>1410</v>
      </c>
    </row>
    <row r="3093" spans="1:6" x14ac:dyDescent="0.25">
      <c r="A3093" s="4" t="str">
        <f>CONCATENATE("3071-0000-7670","")</f>
        <v>3071-0000-7670</v>
      </c>
      <c r="B3093" s="4" t="s">
        <v>5161</v>
      </c>
      <c r="C3093" s="5">
        <v>41489</v>
      </c>
      <c r="D3093" s="5">
        <v>41549</v>
      </c>
      <c r="E3093" s="4" t="s">
        <v>1410</v>
      </c>
      <c r="F3093" s="4" t="s">
        <v>4616</v>
      </c>
    </row>
    <row r="3094" spans="1:6" x14ac:dyDescent="0.25">
      <c r="A3094" s="4" t="str">
        <f>CONCATENATE("3071-0000-9024","")</f>
        <v>3071-0000-9024</v>
      </c>
      <c r="B3094" s="4" t="s">
        <v>6501</v>
      </c>
      <c r="C3094" s="5">
        <v>41489</v>
      </c>
      <c r="D3094" s="5">
        <v>41549</v>
      </c>
      <c r="E3094" s="4" t="s">
        <v>5185</v>
      </c>
      <c r="F3094" s="4" t="s">
        <v>5292</v>
      </c>
    </row>
    <row r="3095" spans="1:6" x14ac:dyDescent="0.25">
      <c r="A3095" s="4" t="str">
        <f>CONCATENATE("3071-0000-3603","")</f>
        <v>3071-0000-3603</v>
      </c>
      <c r="B3095" s="4" t="s">
        <v>1560</v>
      </c>
      <c r="C3095" s="5">
        <v>41489</v>
      </c>
      <c r="D3095" s="5">
        <v>41549</v>
      </c>
      <c r="E3095" s="4" t="s">
        <v>1410</v>
      </c>
      <c r="F3095" s="4" t="s">
        <v>1411</v>
      </c>
    </row>
    <row r="3096" spans="1:6" x14ac:dyDescent="0.25">
      <c r="A3096" s="4" t="str">
        <f>CONCATENATE("3071-0000-7643","")</f>
        <v>3071-0000-7643</v>
      </c>
      <c r="B3096" s="4" t="s">
        <v>5183</v>
      </c>
      <c r="C3096" s="5">
        <v>41489</v>
      </c>
      <c r="D3096" s="5">
        <v>41549</v>
      </c>
      <c r="E3096" s="4" t="s">
        <v>1410</v>
      </c>
      <c r="F3096" s="4" t="s">
        <v>4616</v>
      </c>
    </row>
    <row r="3097" spans="1:6" x14ac:dyDescent="0.25">
      <c r="A3097" s="4" t="str">
        <f>CONCATENATE("3071-0000-7084","")</f>
        <v>3071-0000-7084</v>
      </c>
      <c r="B3097" s="4" t="s">
        <v>4820</v>
      </c>
      <c r="C3097" s="5">
        <v>41489</v>
      </c>
      <c r="D3097" s="5">
        <v>41549</v>
      </c>
      <c r="E3097" s="4" t="s">
        <v>1410</v>
      </c>
      <c r="F3097" s="4" t="s">
        <v>1410</v>
      </c>
    </row>
    <row r="3098" spans="1:6" x14ac:dyDescent="0.25">
      <c r="A3098" s="4" t="str">
        <f>CONCATENATE("3071-0000-1530","")</f>
        <v>3071-0000-1530</v>
      </c>
      <c r="B3098" s="4" t="s">
        <v>2744</v>
      </c>
      <c r="C3098" s="5">
        <v>41489</v>
      </c>
      <c r="D3098" s="5">
        <v>41549</v>
      </c>
      <c r="E3098" s="4" t="s">
        <v>1381</v>
      </c>
      <c r="F3098" s="4" t="s">
        <v>2303</v>
      </c>
    </row>
    <row r="3099" spans="1:6" x14ac:dyDescent="0.25">
      <c r="A3099" s="4" t="str">
        <f>CONCATENATE("3071-0000-7675","")</f>
        <v>3071-0000-7675</v>
      </c>
      <c r="B3099" s="4" t="s">
        <v>5156</v>
      </c>
      <c r="C3099" s="5">
        <v>41489</v>
      </c>
      <c r="D3099" s="5">
        <v>41549</v>
      </c>
      <c r="E3099" s="4" t="s">
        <v>1410</v>
      </c>
      <c r="F3099" s="4" t="s">
        <v>4616</v>
      </c>
    </row>
    <row r="3100" spans="1:6" x14ac:dyDescent="0.25">
      <c r="A3100" s="4" t="str">
        <f>CONCATENATE("3071-0000-7430","")</f>
        <v>3071-0000-7430</v>
      </c>
      <c r="B3100" s="4" t="s">
        <v>4458</v>
      </c>
      <c r="C3100" s="5">
        <v>41489</v>
      </c>
      <c r="D3100" s="5">
        <v>41549</v>
      </c>
      <c r="E3100" s="4" t="s">
        <v>1410</v>
      </c>
      <c r="F3100" s="4" t="s">
        <v>4459</v>
      </c>
    </row>
    <row r="3101" spans="1:6" x14ac:dyDescent="0.25">
      <c r="A3101" s="4" t="str">
        <f>CONCATENATE("3071-0000-7725","")</f>
        <v>3071-0000-7725</v>
      </c>
      <c r="B3101" s="4" t="s">
        <v>4457</v>
      </c>
      <c r="C3101" s="5">
        <v>41489</v>
      </c>
      <c r="D3101" s="5">
        <v>41549</v>
      </c>
      <c r="E3101" s="4" t="s">
        <v>1410</v>
      </c>
      <c r="F3101" s="4" t="s">
        <v>1410</v>
      </c>
    </row>
    <row r="3102" spans="1:6" x14ac:dyDescent="0.25">
      <c r="A3102" s="4" t="str">
        <f>CONCATENATE("3071-0000-6015","")</f>
        <v>3071-0000-6015</v>
      </c>
      <c r="B3102" s="4" t="s">
        <v>6983</v>
      </c>
      <c r="C3102" s="5">
        <v>41489</v>
      </c>
      <c r="D3102" s="5">
        <v>41549</v>
      </c>
      <c r="E3102" s="4" t="s">
        <v>1410</v>
      </c>
      <c r="F3102" s="4" t="s">
        <v>2142</v>
      </c>
    </row>
    <row r="3103" spans="1:6" x14ac:dyDescent="0.25">
      <c r="A3103" s="4" t="str">
        <f>CONCATENATE("3071-0000-7241","")</f>
        <v>3071-0000-7241</v>
      </c>
      <c r="B3103" s="4" t="s">
        <v>4933</v>
      </c>
      <c r="C3103" s="5">
        <v>41489</v>
      </c>
      <c r="D3103" s="5">
        <v>41549</v>
      </c>
      <c r="E3103" s="4" t="s">
        <v>1410</v>
      </c>
      <c r="F3103" s="4" t="s">
        <v>1410</v>
      </c>
    </row>
    <row r="3104" spans="1:6" x14ac:dyDescent="0.25">
      <c r="A3104" s="4" t="str">
        <f>CONCATENATE("3071-0000-8988","")</f>
        <v>3071-0000-8988</v>
      </c>
      <c r="B3104" s="4" t="s">
        <v>6052</v>
      </c>
      <c r="C3104" s="5">
        <v>41489</v>
      </c>
      <c r="D3104" s="5">
        <v>41549</v>
      </c>
      <c r="E3104" s="4" t="s">
        <v>5185</v>
      </c>
      <c r="F3104" s="4" t="s">
        <v>5945</v>
      </c>
    </row>
    <row r="3105" spans="1:6" x14ac:dyDescent="0.25">
      <c r="A3105" s="4" t="str">
        <f>CONCATENATE("3071-0000-7890","")</f>
        <v>3071-0000-7890</v>
      </c>
      <c r="B3105" s="4" t="s">
        <v>5493</v>
      </c>
      <c r="C3105" s="5">
        <v>41489</v>
      </c>
      <c r="D3105" s="5">
        <v>41549</v>
      </c>
      <c r="E3105" s="4" t="s">
        <v>5185</v>
      </c>
      <c r="F3105" s="4" t="s">
        <v>5185</v>
      </c>
    </row>
    <row r="3106" spans="1:6" x14ac:dyDescent="0.25">
      <c r="A3106" s="4" t="str">
        <f>CONCATENATE("3071-0000-0846","")</f>
        <v>3071-0000-0846</v>
      </c>
      <c r="B3106" s="4" t="s">
        <v>1924</v>
      </c>
      <c r="C3106" s="5">
        <v>41489</v>
      </c>
      <c r="D3106" s="5">
        <v>41549</v>
      </c>
      <c r="E3106" s="4" t="s">
        <v>1857</v>
      </c>
      <c r="F3106" s="4" t="s">
        <v>1857</v>
      </c>
    </row>
    <row r="3107" spans="1:6" x14ac:dyDescent="0.25">
      <c r="A3107" s="4" t="str">
        <f>CONCATENATE("3071-0000-0869","")</f>
        <v>3071-0000-0869</v>
      </c>
      <c r="B3107" s="4" t="s">
        <v>1974</v>
      </c>
      <c r="C3107" s="5">
        <v>41489</v>
      </c>
      <c r="D3107" s="5">
        <v>41549</v>
      </c>
      <c r="E3107" s="4" t="s">
        <v>1857</v>
      </c>
      <c r="F3107" s="4" t="s">
        <v>1857</v>
      </c>
    </row>
    <row r="3108" spans="1:6" x14ac:dyDescent="0.25">
      <c r="A3108" s="4" t="str">
        <f>CONCATENATE("3071-0000-0907","")</f>
        <v>3071-0000-0907</v>
      </c>
      <c r="B3108" s="4" t="s">
        <v>1998</v>
      </c>
      <c r="C3108" s="5">
        <v>41489</v>
      </c>
      <c r="D3108" s="5">
        <v>41549</v>
      </c>
      <c r="E3108" s="4" t="s">
        <v>1857</v>
      </c>
      <c r="F3108" s="4" t="s">
        <v>1857</v>
      </c>
    </row>
    <row r="3109" spans="1:6" x14ac:dyDescent="0.25">
      <c r="A3109" s="4" t="str">
        <f>CONCATENATE("3071-0000-1242","")</f>
        <v>3071-0000-1242</v>
      </c>
      <c r="B3109" s="4" t="s">
        <v>2326</v>
      </c>
      <c r="C3109" s="5">
        <v>41489</v>
      </c>
      <c r="D3109" s="5">
        <v>41549</v>
      </c>
      <c r="E3109" s="4" t="s">
        <v>1381</v>
      </c>
      <c r="F3109" s="4" t="s">
        <v>2303</v>
      </c>
    </row>
    <row r="3110" spans="1:6" x14ac:dyDescent="0.25">
      <c r="A3110" s="4" t="str">
        <f>CONCATENATE("3071-0000-0831","")</f>
        <v>3071-0000-0831</v>
      </c>
      <c r="B3110" s="4" t="s">
        <v>1892</v>
      </c>
      <c r="C3110" s="5">
        <v>41489</v>
      </c>
      <c r="D3110" s="5">
        <v>41549</v>
      </c>
      <c r="E3110" s="4" t="s">
        <v>1857</v>
      </c>
      <c r="F3110" s="4" t="s">
        <v>1857</v>
      </c>
    </row>
    <row r="3111" spans="1:6" x14ac:dyDescent="0.25">
      <c r="A3111" s="4" t="str">
        <f>CONCATENATE("3071-0000-0835","")</f>
        <v>3071-0000-0835</v>
      </c>
      <c r="B3111" s="4" t="s">
        <v>1902</v>
      </c>
      <c r="C3111" s="5">
        <v>41489</v>
      </c>
      <c r="D3111" s="5">
        <v>41549</v>
      </c>
      <c r="E3111" s="4" t="s">
        <v>1857</v>
      </c>
      <c r="F3111" s="4" t="s">
        <v>1857</v>
      </c>
    </row>
    <row r="3112" spans="1:6" x14ac:dyDescent="0.25">
      <c r="A3112" s="4" t="str">
        <f>CONCATENATE("3071-0000-7011","")</f>
        <v>3071-0000-7011</v>
      </c>
      <c r="B3112" s="4" t="s">
        <v>4664</v>
      </c>
      <c r="C3112" s="5">
        <v>41489</v>
      </c>
      <c r="D3112" s="5">
        <v>41549</v>
      </c>
      <c r="E3112" s="4" t="s">
        <v>1410</v>
      </c>
      <c r="F3112" s="4" t="s">
        <v>1410</v>
      </c>
    </row>
    <row r="3113" spans="1:6" x14ac:dyDescent="0.25">
      <c r="A3113" s="4" t="str">
        <f>CONCATENATE("3071-0000-1932","")</f>
        <v>3071-0000-1932</v>
      </c>
      <c r="B3113" s="4" t="s">
        <v>3337</v>
      </c>
      <c r="C3113" s="5">
        <v>41489</v>
      </c>
      <c r="D3113" s="5">
        <v>41549</v>
      </c>
      <c r="E3113" s="4" t="s">
        <v>2944</v>
      </c>
      <c r="F3113" s="4" t="s">
        <v>2945</v>
      </c>
    </row>
    <row r="3114" spans="1:6" x14ac:dyDescent="0.25">
      <c r="A3114" s="4" t="str">
        <f>CONCATENATE("3071-0000-2248","")</f>
        <v>3071-0000-2248</v>
      </c>
      <c r="B3114" s="4" t="s">
        <v>3365</v>
      </c>
      <c r="C3114" s="5">
        <v>41489</v>
      </c>
      <c r="D3114" s="5">
        <v>41549</v>
      </c>
      <c r="E3114" s="4" t="s">
        <v>2944</v>
      </c>
      <c r="F3114" s="4" t="s">
        <v>2945</v>
      </c>
    </row>
    <row r="3115" spans="1:6" x14ac:dyDescent="0.25">
      <c r="A3115" s="4" t="str">
        <f>CONCATENATE("3071-0000-0892","")</f>
        <v>3071-0000-0892</v>
      </c>
      <c r="B3115" s="4" t="s">
        <v>2040</v>
      </c>
      <c r="C3115" s="5">
        <v>41489</v>
      </c>
      <c r="D3115" s="5">
        <v>41549</v>
      </c>
      <c r="E3115" s="4" t="s">
        <v>1857</v>
      </c>
      <c r="F3115" s="4" t="s">
        <v>1857</v>
      </c>
    </row>
    <row r="3116" spans="1:6" x14ac:dyDescent="0.25">
      <c r="A3116" s="4" t="str">
        <f>CONCATENATE("3071-0000-1006","")</f>
        <v>3071-0000-1006</v>
      </c>
      <c r="B3116" s="4" t="s">
        <v>2224</v>
      </c>
      <c r="C3116" s="5">
        <v>41489</v>
      </c>
      <c r="D3116" s="5">
        <v>41549</v>
      </c>
      <c r="E3116" s="4" t="s">
        <v>1857</v>
      </c>
      <c r="F3116" s="4" t="s">
        <v>1857</v>
      </c>
    </row>
    <row r="3117" spans="1:6" x14ac:dyDescent="0.25">
      <c r="A3117" s="4" t="str">
        <f>CONCATENATE("3071-0000-0053","")</f>
        <v>3071-0000-0053</v>
      </c>
      <c r="B3117" s="4" t="s">
        <v>100</v>
      </c>
      <c r="C3117" s="5">
        <v>41489</v>
      </c>
      <c r="D3117" s="5">
        <v>41549</v>
      </c>
      <c r="E3117" s="4" t="s">
        <v>7</v>
      </c>
      <c r="F3117" s="4" t="s">
        <v>7</v>
      </c>
    </row>
    <row r="3118" spans="1:6" x14ac:dyDescent="0.25">
      <c r="A3118" s="4" t="str">
        <f>CONCATENATE("3071-0000-1012","")</f>
        <v>3071-0000-1012</v>
      </c>
      <c r="B3118" s="4" t="s">
        <v>2230</v>
      </c>
      <c r="C3118" s="5">
        <v>41489</v>
      </c>
      <c r="D3118" s="5">
        <v>41549</v>
      </c>
      <c r="E3118" s="4" t="s">
        <v>1857</v>
      </c>
      <c r="F3118" s="4" t="s">
        <v>1857</v>
      </c>
    </row>
    <row r="3119" spans="1:6" x14ac:dyDescent="0.25">
      <c r="A3119" s="4" t="str">
        <f>CONCATENATE("3071-0000-3166","")</f>
        <v>3071-0000-3166</v>
      </c>
      <c r="B3119" s="4" t="s">
        <v>1288</v>
      </c>
      <c r="C3119" s="5">
        <v>41489</v>
      </c>
      <c r="D3119" s="5">
        <v>41549</v>
      </c>
      <c r="E3119" s="4" t="s">
        <v>7</v>
      </c>
      <c r="F3119" s="4" t="s">
        <v>808</v>
      </c>
    </row>
    <row r="3120" spans="1:6" x14ac:dyDescent="0.25">
      <c r="A3120" s="4" t="str">
        <f>CONCATENATE("3071-0000-3168","")</f>
        <v>3071-0000-3168</v>
      </c>
      <c r="B3120" s="4" t="s">
        <v>1290</v>
      </c>
      <c r="C3120" s="5">
        <v>41489</v>
      </c>
      <c r="D3120" s="5">
        <v>41549</v>
      </c>
      <c r="E3120" s="4" t="s">
        <v>7</v>
      </c>
      <c r="F3120" s="4" t="s">
        <v>808</v>
      </c>
    </row>
    <row r="3121" spans="1:6" x14ac:dyDescent="0.25">
      <c r="A3121" s="4" t="str">
        <f>CONCATENATE("3071-0000-1324","")</f>
        <v>3071-0000-1324</v>
      </c>
      <c r="B3121" s="4" t="s">
        <v>2448</v>
      </c>
      <c r="C3121" s="5">
        <v>41489</v>
      </c>
      <c r="D3121" s="5">
        <v>41549</v>
      </c>
      <c r="E3121" s="4" t="s">
        <v>1381</v>
      </c>
      <c r="F3121" s="4" t="s">
        <v>2303</v>
      </c>
    </row>
    <row r="3122" spans="1:6" x14ac:dyDescent="0.25">
      <c r="A3122" s="4" t="str">
        <f>CONCATENATE("3071-0000-6489","")</f>
        <v>3071-0000-6489</v>
      </c>
      <c r="B3122" s="4" t="s">
        <v>7759</v>
      </c>
      <c r="C3122" s="5">
        <v>41489</v>
      </c>
      <c r="D3122" s="5">
        <v>41549</v>
      </c>
      <c r="E3122" s="4" t="s">
        <v>5185</v>
      </c>
      <c r="F3122" s="4" t="s">
        <v>5185</v>
      </c>
    </row>
    <row r="3123" spans="1:6" x14ac:dyDescent="0.25">
      <c r="A3123" s="4" t="str">
        <f>CONCATENATE("3071-0000-6216","")</f>
        <v>3071-0000-6216</v>
      </c>
      <c r="B3123" s="4" t="s">
        <v>7489</v>
      </c>
      <c r="C3123" s="5">
        <v>41489</v>
      </c>
      <c r="D3123" s="5">
        <v>41549</v>
      </c>
      <c r="E3123" s="4" t="s">
        <v>1410</v>
      </c>
      <c r="F3123" s="4" t="s">
        <v>1410</v>
      </c>
    </row>
    <row r="3124" spans="1:6" x14ac:dyDescent="0.25">
      <c r="A3124" s="4" t="str">
        <f>CONCATENATE("3071-0000-1302","")</f>
        <v>3071-0000-1302</v>
      </c>
      <c r="B3124" s="4" t="s">
        <v>2415</v>
      </c>
      <c r="C3124" s="5">
        <v>41489</v>
      </c>
      <c r="D3124" s="5">
        <v>41549</v>
      </c>
      <c r="E3124" s="4" t="s">
        <v>1381</v>
      </c>
      <c r="F3124" s="4" t="s">
        <v>2303</v>
      </c>
    </row>
    <row r="3125" spans="1:6" x14ac:dyDescent="0.25">
      <c r="A3125" s="4" t="str">
        <f>CONCATENATE("3071-0000-1009","")</f>
        <v>3071-0000-1009</v>
      </c>
      <c r="B3125" s="4" t="s">
        <v>2227</v>
      </c>
      <c r="C3125" s="5">
        <v>41489</v>
      </c>
      <c r="D3125" s="5">
        <v>41549</v>
      </c>
      <c r="E3125" s="4" t="s">
        <v>1857</v>
      </c>
      <c r="F3125" s="4" t="s">
        <v>1857</v>
      </c>
    </row>
    <row r="3126" spans="1:6" x14ac:dyDescent="0.25">
      <c r="A3126" s="4" t="str">
        <f>CONCATENATE("3071-0000-0304","")</f>
        <v>3071-0000-0304</v>
      </c>
      <c r="B3126" s="4" t="s">
        <v>738</v>
      </c>
      <c r="C3126" s="5">
        <v>41489</v>
      </c>
      <c r="D3126" s="5">
        <v>41549</v>
      </c>
      <c r="E3126" s="4" t="s">
        <v>7</v>
      </c>
      <c r="F3126" s="4" t="s">
        <v>7</v>
      </c>
    </row>
    <row r="3127" spans="1:6" x14ac:dyDescent="0.25">
      <c r="A3127" s="4" t="str">
        <f>CONCATENATE("3071-0000-1359","")</f>
        <v>3071-0000-1359</v>
      </c>
      <c r="B3127" s="4" t="s">
        <v>2509</v>
      </c>
      <c r="C3127" s="5">
        <v>41489</v>
      </c>
      <c r="D3127" s="5">
        <v>41549</v>
      </c>
      <c r="E3127" s="4" t="s">
        <v>1381</v>
      </c>
      <c r="F3127" s="4" t="s">
        <v>2303</v>
      </c>
    </row>
    <row r="3128" spans="1:6" x14ac:dyDescent="0.25">
      <c r="A3128" s="4" t="str">
        <f>CONCATENATE("3071-0000-1096","")</f>
        <v>3071-0000-1096</v>
      </c>
      <c r="B3128" s="4" t="s">
        <v>2148</v>
      </c>
      <c r="C3128" s="5">
        <v>41489</v>
      </c>
      <c r="D3128" s="5">
        <v>41549</v>
      </c>
      <c r="E3128" s="4" t="s">
        <v>1857</v>
      </c>
      <c r="F3128" s="4" t="s">
        <v>2144</v>
      </c>
    </row>
    <row r="3129" spans="1:6" x14ac:dyDescent="0.25">
      <c r="A3129" s="4" t="str">
        <f>CONCATENATE("3071-0000-1661","")</f>
        <v>3071-0000-1661</v>
      </c>
      <c r="B3129" s="4" t="s">
        <v>2524</v>
      </c>
      <c r="C3129" s="5">
        <v>41489</v>
      </c>
      <c r="D3129" s="5">
        <v>41549</v>
      </c>
      <c r="E3129" s="4" t="s">
        <v>1381</v>
      </c>
      <c r="F3129" s="4" t="s">
        <v>2303</v>
      </c>
    </row>
    <row r="3130" spans="1:6" x14ac:dyDescent="0.25">
      <c r="A3130" s="4" t="str">
        <f>CONCATENATE("3071-0000-1297","")</f>
        <v>3071-0000-1297</v>
      </c>
      <c r="B3130" s="4" t="s">
        <v>2409</v>
      </c>
      <c r="C3130" s="5">
        <v>41489</v>
      </c>
      <c r="D3130" s="5">
        <v>41549</v>
      </c>
      <c r="E3130" s="4" t="s">
        <v>1381</v>
      </c>
      <c r="F3130" s="4" t="s">
        <v>2303</v>
      </c>
    </row>
    <row r="3131" spans="1:6" x14ac:dyDescent="0.25">
      <c r="A3131" s="4" t="str">
        <f>CONCATENATE("3071-0000-2118","")</f>
        <v>3071-0000-2118</v>
      </c>
      <c r="B3131" s="4" t="s">
        <v>3542</v>
      </c>
      <c r="C3131" s="5">
        <v>41489</v>
      </c>
      <c r="D3131" s="5">
        <v>41549</v>
      </c>
      <c r="E3131" s="4" t="s">
        <v>2944</v>
      </c>
      <c r="F3131" s="4" t="s">
        <v>2945</v>
      </c>
    </row>
    <row r="3132" spans="1:6" x14ac:dyDescent="0.25">
      <c r="A3132" s="4" t="str">
        <f>CONCATENATE("3071-0000-1909","")</f>
        <v>3071-0000-1909</v>
      </c>
      <c r="B3132" s="4" t="s">
        <v>2988</v>
      </c>
      <c r="C3132" s="5">
        <v>41489</v>
      </c>
      <c r="D3132" s="5">
        <v>41549</v>
      </c>
      <c r="E3132" s="4" t="s">
        <v>2944</v>
      </c>
      <c r="F3132" s="4" t="s">
        <v>2945</v>
      </c>
    </row>
    <row r="3133" spans="1:6" x14ac:dyDescent="0.25">
      <c r="A3133" s="4" t="str">
        <f>CONCATENATE("3071-0000-0564","")</f>
        <v>3071-0000-0564</v>
      </c>
      <c r="B3133" s="4" t="s">
        <v>449</v>
      </c>
      <c r="C3133" s="5">
        <v>41489</v>
      </c>
      <c r="D3133" s="5">
        <v>41549</v>
      </c>
      <c r="E3133" s="4" t="s">
        <v>7</v>
      </c>
      <c r="F3133" s="4" t="s">
        <v>7</v>
      </c>
    </row>
    <row r="3134" spans="1:6" x14ac:dyDescent="0.25">
      <c r="A3134" s="4" t="str">
        <f>CONCATENATE("3071-0000-1906","")</f>
        <v>3071-0000-1906</v>
      </c>
      <c r="B3134" s="4" t="s">
        <v>2965</v>
      </c>
      <c r="C3134" s="5">
        <v>41489</v>
      </c>
      <c r="D3134" s="5">
        <v>41549</v>
      </c>
      <c r="E3134" s="4" t="s">
        <v>2944</v>
      </c>
      <c r="F3134" s="4" t="s">
        <v>2945</v>
      </c>
    </row>
    <row r="3135" spans="1:6" x14ac:dyDescent="0.25">
      <c r="A3135" s="4" t="str">
        <f>CONCATENATE("3071-0000-2634","")</f>
        <v>3071-0000-2634</v>
      </c>
      <c r="B3135" s="4" t="s">
        <v>3491</v>
      </c>
      <c r="C3135" s="5">
        <v>41489</v>
      </c>
      <c r="D3135" s="5">
        <v>41549</v>
      </c>
      <c r="E3135" s="4" t="s">
        <v>2944</v>
      </c>
      <c r="F3135" s="4" t="s">
        <v>3434</v>
      </c>
    </row>
    <row r="3136" spans="1:6" x14ac:dyDescent="0.25">
      <c r="A3136" s="4" t="str">
        <f>CONCATENATE("3071-0000-3170","")</f>
        <v>3071-0000-3170</v>
      </c>
      <c r="B3136" s="4" t="s">
        <v>1296</v>
      </c>
      <c r="C3136" s="5">
        <v>41489</v>
      </c>
      <c r="D3136" s="5">
        <v>41549</v>
      </c>
      <c r="E3136" s="4" t="s">
        <v>7</v>
      </c>
      <c r="F3136" s="4" t="s">
        <v>808</v>
      </c>
    </row>
    <row r="3137" spans="1:6" x14ac:dyDescent="0.25">
      <c r="A3137" s="4" t="str">
        <f>CONCATENATE("3071-0000-3086","")</f>
        <v>3071-0000-3086</v>
      </c>
      <c r="B3137" s="4" t="s">
        <v>1088</v>
      </c>
      <c r="C3137" s="5">
        <v>41489</v>
      </c>
      <c r="D3137" s="5">
        <v>41549</v>
      </c>
      <c r="E3137" s="4" t="s">
        <v>7</v>
      </c>
      <c r="F3137" s="4" t="s">
        <v>808</v>
      </c>
    </row>
    <row r="3138" spans="1:6" x14ac:dyDescent="0.25">
      <c r="A3138" s="4" t="str">
        <f>CONCATENATE("3071-0000-2228","")</f>
        <v>3071-0000-2228</v>
      </c>
      <c r="B3138" s="4" t="s">
        <v>3754</v>
      </c>
      <c r="C3138" s="5">
        <v>41489</v>
      </c>
      <c r="D3138" s="5">
        <v>41549</v>
      </c>
      <c r="E3138" s="4" t="s">
        <v>2944</v>
      </c>
      <c r="F3138" s="4" t="s">
        <v>2945</v>
      </c>
    </row>
    <row r="3139" spans="1:6" x14ac:dyDescent="0.25">
      <c r="A3139" s="4" t="str">
        <f>CONCATENATE("3071-0000-3823","")</f>
        <v>3071-0000-3823</v>
      </c>
      <c r="B3139" s="4" t="s">
        <v>3873</v>
      </c>
      <c r="C3139" s="5">
        <v>41489</v>
      </c>
      <c r="D3139" s="5">
        <v>41549</v>
      </c>
      <c r="E3139" s="4" t="s">
        <v>2944</v>
      </c>
      <c r="F3139" s="4" t="s">
        <v>3513</v>
      </c>
    </row>
    <row r="3140" spans="1:6" x14ac:dyDescent="0.25">
      <c r="A3140" s="4" t="str">
        <f>CONCATENATE("3071-0000-2887","")</f>
        <v>3071-0000-2887</v>
      </c>
      <c r="B3140" s="4" t="s">
        <v>1195</v>
      </c>
      <c r="C3140" s="5">
        <v>41489</v>
      </c>
      <c r="D3140" s="5">
        <v>41549</v>
      </c>
      <c r="E3140" s="4" t="s">
        <v>7</v>
      </c>
      <c r="F3140" s="4" t="s">
        <v>808</v>
      </c>
    </row>
    <row r="3141" spans="1:6" x14ac:dyDescent="0.25">
      <c r="A3141" s="4" t="str">
        <f>CONCATENATE("3071-0000-0656","")</f>
        <v>3071-0000-0656</v>
      </c>
      <c r="B3141" s="4" t="s">
        <v>795</v>
      </c>
      <c r="C3141" s="5">
        <v>41489</v>
      </c>
      <c r="D3141" s="5">
        <v>41549</v>
      </c>
      <c r="E3141" s="4" t="s">
        <v>7</v>
      </c>
      <c r="F3141" s="4" t="s">
        <v>7</v>
      </c>
    </row>
    <row r="3142" spans="1:6" x14ac:dyDescent="0.25">
      <c r="A3142" s="4" t="str">
        <f>CONCATENATE("3071-0000-0046","")</f>
        <v>3071-0000-0046</v>
      </c>
      <c r="B3142" s="4" t="s">
        <v>88</v>
      </c>
      <c r="C3142" s="5">
        <v>41489</v>
      </c>
      <c r="D3142" s="5">
        <v>41549</v>
      </c>
      <c r="E3142" s="4" t="s">
        <v>7</v>
      </c>
      <c r="F3142" s="4" t="s">
        <v>7</v>
      </c>
    </row>
    <row r="3143" spans="1:6" x14ac:dyDescent="0.25">
      <c r="A3143" s="4" t="str">
        <f>CONCATENATE("3071-0000-3247","")</f>
        <v>3071-0000-3247</v>
      </c>
      <c r="B3143" s="4" t="s">
        <v>1021</v>
      </c>
      <c r="C3143" s="5">
        <v>41489</v>
      </c>
      <c r="D3143" s="5">
        <v>41549</v>
      </c>
      <c r="E3143" s="4" t="s">
        <v>7</v>
      </c>
      <c r="F3143" s="4" t="s">
        <v>808</v>
      </c>
    </row>
    <row r="3144" spans="1:6" x14ac:dyDescent="0.25">
      <c r="A3144" s="4" t="str">
        <f>CONCATENATE("3071-0000-0044","")</f>
        <v>3071-0000-0044</v>
      </c>
      <c r="B3144" s="4" t="s">
        <v>72</v>
      </c>
      <c r="C3144" s="5">
        <v>41489</v>
      </c>
      <c r="D3144" s="5">
        <v>41549</v>
      </c>
      <c r="E3144" s="4" t="s">
        <v>7</v>
      </c>
      <c r="F3144" s="4" t="s">
        <v>7</v>
      </c>
    </row>
    <row r="3145" spans="1:6" x14ac:dyDescent="0.25">
      <c r="A3145" s="4" t="str">
        <f>CONCATENATE("3071-0000-0293","")</f>
        <v>3071-0000-0293</v>
      </c>
      <c r="B3145" s="4" t="s">
        <v>76</v>
      </c>
      <c r="C3145" s="5">
        <v>41489</v>
      </c>
      <c r="D3145" s="5">
        <v>41549</v>
      </c>
      <c r="E3145" s="4" t="s">
        <v>7</v>
      </c>
      <c r="F3145" s="4" t="s">
        <v>7</v>
      </c>
    </row>
    <row r="3146" spans="1:6" x14ac:dyDescent="0.25">
      <c r="A3146" s="4" t="str">
        <f>CONCATENATE("3071-0000-3280","")</f>
        <v>3071-0000-3280</v>
      </c>
      <c r="B3146" s="4" t="s">
        <v>1138</v>
      </c>
      <c r="C3146" s="5">
        <v>41489</v>
      </c>
      <c r="D3146" s="5">
        <v>41549</v>
      </c>
      <c r="E3146" s="4" t="s">
        <v>7</v>
      </c>
      <c r="F3146" s="4" t="s">
        <v>808</v>
      </c>
    </row>
    <row r="3147" spans="1:6" x14ac:dyDescent="0.25">
      <c r="A3147" s="4" t="str">
        <f>CONCATENATE("3071-0000-2002","")</f>
        <v>3071-0000-2002</v>
      </c>
      <c r="B3147" s="4" t="s">
        <v>3284</v>
      </c>
      <c r="C3147" s="5">
        <v>41489</v>
      </c>
      <c r="D3147" s="5">
        <v>41549</v>
      </c>
      <c r="E3147" s="4" t="s">
        <v>2944</v>
      </c>
      <c r="F3147" s="4" t="s">
        <v>2945</v>
      </c>
    </row>
    <row r="3148" spans="1:6" x14ac:dyDescent="0.25">
      <c r="A3148" s="4" t="str">
        <f>CONCATENATE("3071-0000-4428","")</f>
        <v>3071-0000-4428</v>
      </c>
      <c r="B3148" s="4" t="s">
        <v>9298</v>
      </c>
      <c r="C3148" s="5">
        <v>41489</v>
      </c>
      <c r="D3148" s="5">
        <v>41549</v>
      </c>
      <c r="E3148" s="4" t="s">
        <v>7069</v>
      </c>
      <c r="F3148" s="4" t="s">
        <v>9210</v>
      </c>
    </row>
    <row r="3149" spans="1:6" x14ac:dyDescent="0.25">
      <c r="A3149" s="4" t="str">
        <f>CONCATENATE("3071-0000-7832","")</f>
        <v>3071-0000-7832</v>
      </c>
      <c r="B3149" s="4" t="s">
        <v>5768</v>
      </c>
      <c r="C3149" s="5">
        <v>41489</v>
      </c>
      <c r="D3149" s="5">
        <v>41549</v>
      </c>
      <c r="E3149" s="4" t="s">
        <v>5185</v>
      </c>
      <c r="F3149" s="4" t="s">
        <v>5185</v>
      </c>
    </row>
    <row r="3150" spans="1:6" x14ac:dyDescent="0.25">
      <c r="A3150" s="4" t="str">
        <f>CONCATENATE("3071-0000-2041","")</f>
        <v>3071-0000-2041</v>
      </c>
      <c r="B3150" s="4" t="s">
        <v>3370</v>
      </c>
      <c r="C3150" s="5">
        <v>41489</v>
      </c>
      <c r="D3150" s="5">
        <v>41549</v>
      </c>
      <c r="E3150" s="4" t="s">
        <v>2944</v>
      </c>
      <c r="F3150" s="4" t="s">
        <v>2945</v>
      </c>
    </row>
    <row r="3151" spans="1:6" x14ac:dyDescent="0.25">
      <c r="A3151" s="4" t="str">
        <f>CONCATENATE("3071-0000-6962","")</f>
        <v>3071-0000-6962</v>
      </c>
      <c r="B3151" s="4" t="s">
        <v>4485</v>
      </c>
      <c r="C3151" s="5">
        <v>41489</v>
      </c>
      <c r="D3151" s="5">
        <v>41549</v>
      </c>
      <c r="E3151" s="4" t="s">
        <v>1410</v>
      </c>
      <c r="F3151" s="4" t="s">
        <v>1410</v>
      </c>
    </row>
    <row r="3152" spans="1:6" x14ac:dyDescent="0.25">
      <c r="A3152" s="4" t="str">
        <f>CONCATENATE("3071-0000-4273","")</f>
        <v>3071-0000-4273</v>
      </c>
      <c r="B3152" s="4" t="s">
        <v>8931</v>
      </c>
      <c r="C3152" s="5">
        <v>41489</v>
      </c>
      <c r="D3152" s="5">
        <v>41549</v>
      </c>
      <c r="E3152" s="4" t="s">
        <v>1410</v>
      </c>
      <c r="F3152" s="4" t="s">
        <v>8696</v>
      </c>
    </row>
    <row r="3153" spans="1:6" x14ac:dyDescent="0.25">
      <c r="A3153" s="4" t="str">
        <f>CONCATENATE("3071-0000-4286","")</f>
        <v>3071-0000-4286</v>
      </c>
      <c r="B3153" s="4" t="s">
        <v>8926</v>
      </c>
      <c r="C3153" s="5">
        <v>41489</v>
      </c>
      <c r="D3153" s="5">
        <v>41549</v>
      </c>
      <c r="E3153" s="4" t="s">
        <v>1410</v>
      </c>
      <c r="F3153" s="4" t="s">
        <v>8696</v>
      </c>
    </row>
    <row r="3154" spans="1:6" x14ac:dyDescent="0.25">
      <c r="A3154" s="4" t="str">
        <f>CONCATENATE("3071-0000-6320","")</f>
        <v>3071-0000-6320</v>
      </c>
      <c r="B3154" s="4" t="s">
        <v>6947</v>
      </c>
      <c r="C3154" s="5">
        <v>41489</v>
      </c>
      <c r="D3154" s="5">
        <v>41549</v>
      </c>
      <c r="E3154" s="4" t="s">
        <v>1410</v>
      </c>
      <c r="F3154" s="4" t="s">
        <v>4616</v>
      </c>
    </row>
    <row r="3155" spans="1:6" x14ac:dyDescent="0.25">
      <c r="A3155" s="4" t="str">
        <f>CONCATENATE("3071-0000-0413","")</f>
        <v>3071-0000-0413</v>
      </c>
      <c r="B3155" s="4" t="s">
        <v>504</v>
      </c>
      <c r="C3155" s="5">
        <v>41489</v>
      </c>
      <c r="D3155" s="5">
        <v>41549</v>
      </c>
      <c r="E3155" s="4" t="s">
        <v>7</v>
      </c>
      <c r="F3155" s="4" t="s">
        <v>7</v>
      </c>
    </row>
    <row r="3156" spans="1:6" x14ac:dyDescent="0.25">
      <c r="A3156" s="4" t="str">
        <f>CONCATENATE("3071-0000-3485","")</f>
        <v>3071-0000-3485</v>
      </c>
      <c r="B3156" s="4" t="s">
        <v>1778</v>
      </c>
      <c r="C3156" s="5">
        <v>41489</v>
      </c>
      <c r="D3156" s="5">
        <v>41549</v>
      </c>
      <c r="E3156" s="4" t="s">
        <v>1410</v>
      </c>
      <c r="F3156" s="4" t="s">
        <v>1411</v>
      </c>
    </row>
    <row r="3157" spans="1:6" x14ac:dyDescent="0.25">
      <c r="A3157" s="4" t="str">
        <f>CONCATENATE("3071-0000-5803","")</f>
        <v>3071-0000-5803</v>
      </c>
      <c r="B3157" s="4" t="s">
        <v>7032</v>
      </c>
      <c r="C3157" s="5">
        <v>41489</v>
      </c>
      <c r="D3157" s="5">
        <v>41549</v>
      </c>
      <c r="E3157" s="4" t="s">
        <v>5185</v>
      </c>
      <c r="F3157" s="4" t="s">
        <v>5185</v>
      </c>
    </row>
    <row r="3158" spans="1:6" x14ac:dyDescent="0.25">
      <c r="A3158" s="4" t="str">
        <f>CONCATENATE("3071-0000-5990","")</f>
        <v>3071-0000-5990</v>
      </c>
      <c r="B3158" s="4" t="s">
        <v>7238</v>
      </c>
      <c r="C3158" s="5">
        <v>41489</v>
      </c>
      <c r="D3158" s="5">
        <v>41549</v>
      </c>
      <c r="E3158" s="4" t="s">
        <v>5185</v>
      </c>
      <c r="F3158" s="4" t="s">
        <v>5185</v>
      </c>
    </row>
    <row r="3159" spans="1:6" x14ac:dyDescent="0.25">
      <c r="A3159" s="4" t="str">
        <f>CONCATENATE("3071-0000-7046","")</f>
        <v>3071-0000-7046</v>
      </c>
      <c r="B3159" s="4" t="s">
        <v>4674</v>
      </c>
      <c r="C3159" s="5">
        <v>41489</v>
      </c>
      <c r="D3159" s="5">
        <v>41549</v>
      </c>
      <c r="E3159" s="4" t="s">
        <v>1410</v>
      </c>
      <c r="F3159" s="4" t="s">
        <v>1410</v>
      </c>
    </row>
    <row r="3160" spans="1:6" x14ac:dyDescent="0.25">
      <c r="A3160" s="4" t="str">
        <f>CONCATENATE("3071-0000-8474","")</f>
        <v>3071-0000-8474</v>
      </c>
      <c r="B3160" s="4" t="s">
        <v>6064</v>
      </c>
      <c r="C3160" s="5">
        <v>41489</v>
      </c>
      <c r="D3160" s="5">
        <v>41549</v>
      </c>
      <c r="E3160" s="4" t="s">
        <v>5185</v>
      </c>
      <c r="F3160" s="4" t="s">
        <v>5945</v>
      </c>
    </row>
    <row r="3161" spans="1:6" x14ac:dyDescent="0.25">
      <c r="A3161" s="4" t="str">
        <f>CONCATENATE("3071-0000-8453","")</f>
        <v>3071-0000-8453</v>
      </c>
      <c r="B3161" s="4" t="s">
        <v>6076</v>
      </c>
      <c r="C3161" s="5">
        <v>41489</v>
      </c>
      <c r="D3161" s="5">
        <v>41549</v>
      </c>
      <c r="E3161" s="4" t="s">
        <v>5185</v>
      </c>
      <c r="F3161" s="4" t="s">
        <v>5945</v>
      </c>
    </row>
    <row r="3162" spans="1:6" x14ac:dyDescent="0.25">
      <c r="A3162" s="4" t="str">
        <f>CONCATENATE("3071-0000-8469","")</f>
        <v>3071-0000-8469</v>
      </c>
      <c r="B3162" s="4" t="s">
        <v>6046</v>
      </c>
      <c r="C3162" s="5">
        <v>41489</v>
      </c>
      <c r="D3162" s="5">
        <v>41549</v>
      </c>
      <c r="E3162" s="4" t="s">
        <v>5185</v>
      </c>
      <c r="F3162" s="4" t="s">
        <v>5945</v>
      </c>
    </row>
    <row r="3163" spans="1:6" x14ac:dyDescent="0.25">
      <c r="A3163" s="4" t="str">
        <f>CONCATENATE("3071-0000-7093","")</f>
        <v>3071-0000-7093</v>
      </c>
      <c r="B3163" s="4" t="s">
        <v>4688</v>
      </c>
      <c r="C3163" s="5">
        <v>41489</v>
      </c>
      <c r="D3163" s="5">
        <v>41549</v>
      </c>
      <c r="E3163" s="4" t="s">
        <v>1410</v>
      </c>
      <c r="F3163" s="4" t="s">
        <v>1410</v>
      </c>
    </row>
    <row r="3164" spans="1:6" x14ac:dyDescent="0.25">
      <c r="A3164" s="4" t="str">
        <f>CONCATENATE("3071-0000-5986","")</f>
        <v>3071-0000-5986</v>
      </c>
      <c r="B3164" s="4" t="s">
        <v>7243</v>
      </c>
      <c r="C3164" s="5">
        <v>41489</v>
      </c>
      <c r="D3164" s="5">
        <v>41549</v>
      </c>
      <c r="E3164" s="4" t="s">
        <v>5185</v>
      </c>
      <c r="F3164" s="4" t="s">
        <v>5185</v>
      </c>
    </row>
    <row r="3165" spans="1:6" x14ac:dyDescent="0.25">
      <c r="A3165" s="4" t="str">
        <f>CONCATENATE("3071-0000-5982","")</f>
        <v>3071-0000-5982</v>
      </c>
      <c r="B3165" s="4" t="s">
        <v>7239</v>
      </c>
      <c r="C3165" s="5">
        <v>41489</v>
      </c>
      <c r="D3165" s="5">
        <v>41549</v>
      </c>
      <c r="E3165" s="4" t="s">
        <v>5185</v>
      </c>
      <c r="F3165" s="4" t="s">
        <v>5185</v>
      </c>
    </row>
    <row r="3166" spans="1:6" x14ac:dyDescent="0.25">
      <c r="A3166" s="4" t="str">
        <f>CONCATENATE("3071-0000-5649","")</f>
        <v>3071-0000-5649</v>
      </c>
      <c r="B3166" s="4" t="s">
        <v>7274</v>
      </c>
      <c r="C3166" s="5">
        <v>41489</v>
      </c>
      <c r="D3166" s="5">
        <v>41549</v>
      </c>
      <c r="E3166" s="4" t="s">
        <v>5185</v>
      </c>
      <c r="F3166" s="4" t="s">
        <v>5185</v>
      </c>
    </row>
    <row r="3167" spans="1:6" x14ac:dyDescent="0.25">
      <c r="A3167" s="4" t="str">
        <f>CONCATENATE("3071-0000-8173","")</f>
        <v>3071-0000-8173</v>
      </c>
      <c r="B3167" s="4" t="s">
        <v>5269</v>
      </c>
      <c r="C3167" s="5">
        <v>41489</v>
      </c>
      <c r="D3167" s="5">
        <v>41549</v>
      </c>
      <c r="E3167" s="4" t="s">
        <v>5185</v>
      </c>
      <c r="F3167" s="4" t="s">
        <v>5185</v>
      </c>
    </row>
    <row r="3168" spans="1:6" x14ac:dyDescent="0.25">
      <c r="A3168" s="4" t="str">
        <f>CONCATENATE("3071-0000-7257","")</f>
        <v>3071-0000-7257</v>
      </c>
      <c r="B3168" s="4" t="s">
        <v>4910</v>
      </c>
      <c r="C3168" s="5">
        <v>41489</v>
      </c>
      <c r="D3168" s="5">
        <v>41549</v>
      </c>
      <c r="E3168" s="4" t="s">
        <v>1410</v>
      </c>
      <c r="F3168" s="4" t="s">
        <v>1410</v>
      </c>
    </row>
    <row r="3169" spans="1:6" x14ac:dyDescent="0.25">
      <c r="A3169" s="4" t="str">
        <f>CONCATENATE("3071-0000-5033","")</f>
        <v>3071-0000-5033</v>
      </c>
      <c r="B3169" s="4" t="s">
        <v>9109</v>
      </c>
      <c r="C3169" s="5">
        <v>41489</v>
      </c>
      <c r="D3169" s="5">
        <v>41549</v>
      </c>
      <c r="E3169" s="4" t="s">
        <v>7069</v>
      </c>
      <c r="F3169" s="4" t="s">
        <v>9065</v>
      </c>
    </row>
    <row r="3170" spans="1:6" x14ac:dyDescent="0.25">
      <c r="A3170" s="4" t="str">
        <f>CONCATENATE("3071-0000-4837","")</f>
        <v>3071-0000-4837</v>
      </c>
      <c r="B3170" s="4" t="s">
        <v>8844</v>
      </c>
      <c r="C3170" s="5">
        <v>41489</v>
      </c>
      <c r="D3170" s="5">
        <v>41549</v>
      </c>
      <c r="E3170" s="4" t="s">
        <v>1410</v>
      </c>
      <c r="F3170" s="4" t="s">
        <v>8696</v>
      </c>
    </row>
    <row r="3171" spans="1:6" x14ac:dyDescent="0.25">
      <c r="A3171" s="4" t="str">
        <f>CONCATENATE("3071-0000-4313","")</f>
        <v>3071-0000-4313</v>
      </c>
      <c r="B3171" s="4" t="s">
        <v>8859</v>
      </c>
      <c r="C3171" s="5">
        <v>41489</v>
      </c>
      <c r="D3171" s="5">
        <v>41549</v>
      </c>
      <c r="E3171" s="4" t="s">
        <v>1410</v>
      </c>
      <c r="F3171" s="4" t="s">
        <v>8851</v>
      </c>
    </row>
    <row r="3172" spans="1:6" x14ac:dyDescent="0.25">
      <c r="A3172" s="4" t="str">
        <f>CONCATENATE("3071-0000-4890","")</f>
        <v>3071-0000-4890</v>
      </c>
      <c r="B3172" s="4" t="s">
        <v>8842</v>
      </c>
      <c r="C3172" s="5">
        <v>41489</v>
      </c>
      <c r="D3172" s="5">
        <v>41549</v>
      </c>
      <c r="E3172" s="4" t="s">
        <v>1410</v>
      </c>
      <c r="F3172" s="4" t="s">
        <v>8843</v>
      </c>
    </row>
    <row r="3173" spans="1:6" x14ac:dyDescent="0.25">
      <c r="A3173" s="4" t="str">
        <f>CONCATENATE("3071-0000-3805","")</f>
        <v>3071-0000-3805</v>
      </c>
      <c r="B3173" s="4" t="s">
        <v>3861</v>
      </c>
      <c r="C3173" s="5">
        <v>41489</v>
      </c>
      <c r="D3173" s="5">
        <v>41549</v>
      </c>
      <c r="E3173" s="4" t="s">
        <v>7</v>
      </c>
      <c r="F3173" s="4" t="s">
        <v>3818</v>
      </c>
    </row>
    <row r="3174" spans="1:6" x14ac:dyDescent="0.25">
      <c r="A3174" s="4" t="str">
        <f>CONCATENATE("3071-0000-7770","")</f>
        <v>3071-0000-7770</v>
      </c>
      <c r="B3174" s="4" t="s">
        <v>4292</v>
      </c>
      <c r="C3174" s="5">
        <v>41489</v>
      </c>
      <c r="D3174" s="5">
        <v>41549</v>
      </c>
      <c r="E3174" s="4" t="s">
        <v>1410</v>
      </c>
      <c r="F3174" s="4" t="s">
        <v>1410</v>
      </c>
    </row>
    <row r="3175" spans="1:6" x14ac:dyDescent="0.25">
      <c r="A3175" s="4" t="str">
        <f>CONCATENATE("3071-0000-1059","")</f>
        <v>3071-0000-1059</v>
      </c>
      <c r="B3175" s="4" t="s">
        <v>2191</v>
      </c>
      <c r="C3175" s="5">
        <v>41489</v>
      </c>
      <c r="D3175" s="5">
        <v>41549</v>
      </c>
      <c r="E3175" s="4" t="s">
        <v>1857</v>
      </c>
      <c r="F3175" s="4" t="s">
        <v>1857</v>
      </c>
    </row>
    <row r="3176" spans="1:6" x14ac:dyDescent="0.25">
      <c r="A3176" s="4" t="str">
        <f>CONCATENATE("3071-0000-0786","")</f>
        <v>3071-0000-0786</v>
      </c>
      <c r="B3176" s="4" t="s">
        <v>517</v>
      </c>
      <c r="C3176" s="5">
        <v>41489</v>
      </c>
      <c r="D3176" s="5">
        <v>41549</v>
      </c>
      <c r="E3176" s="4" t="s">
        <v>7</v>
      </c>
      <c r="F3176" s="4" t="s">
        <v>7</v>
      </c>
    </row>
    <row r="3177" spans="1:6" x14ac:dyDescent="0.25">
      <c r="A3177" s="4" t="str">
        <f>CONCATENATE("3071-0000-5206","")</f>
        <v>3071-0000-5206</v>
      </c>
      <c r="B3177" s="4" t="s">
        <v>8740</v>
      </c>
      <c r="C3177" s="5">
        <v>41489</v>
      </c>
      <c r="D3177" s="5">
        <v>41549</v>
      </c>
      <c r="E3177" s="4" t="s">
        <v>1410</v>
      </c>
      <c r="F3177" s="4" t="s">
        <v>8696</v>
      </c>
    </row>
    <row r="3178" spans="1:6" x14ac:dyDescent="0.25">
      <c r="A3178" s="4" t="str">
        <f>CONCATENATE("3071-0000-1650","")</f>
        <v>3071-0000-1650</v>
      </c>
      <c r="B3178" s="4" t="s">
        <v>2488</v>
      </c>
      <c r="C3178" s="5">
        <v>41489</v>
      </c>
      <c r="D3178" s="5">
        <v>41549</v>
      </c>
      <c r="E3178" s="4" t="s">
        <v>1381</v>
      </c>
      <c r="F3178" s="4" t="s">
        <v>2303</v>
      </c>
    </row>
    <row r="3179" spans="1:6" x14ac:dyDescent="0.25">
      <c r="A3179" s="4" t="str">
        <f>CONCATENATE("3071-0000-1801","")</f>
        <v>3071-0000-1801</v>
      </c>
      <c r="B3179" s="4" t="s">
        <v>2827</v>
      </c>
      <c r="C3179" s="5">
        <v>41489</v>
      </c>
      <c r="D3179" s="5">
        <v>41549</v>
      </c>
      <c r="E3179" s="4" t="s">
        <v>1381</v>
      </c>
      <c r="F3179" s="4" t="s">
        <v>2826</v>
      </c>
    </row>
    <row r="3180" spans="1:6" x14ac:dyDescent="0.25">
      <c r="A3180" s="4" t="str">
        <f>CONCATENATE("3071-0000-2211","")</f>
        <v>3071-0000-2211</v>
      </c>
      <c r="B3180" s="4" t="s">
        <v>2979</v>
      </c>
      <c r="C3180" s="5">
        <v>41489</v>
      </c>
      <c r="D3180" s="5">
        <v>41549</v>
      </c>
      <c r="E3180" s="4" t="s">
        <v>2944</v>
      </c>
      <c r="F3180" s="4" t="s">
        <v>2945</v>
      </c>
    </row>
    <row r="3181" spans="1:6" x14ac:dyDescent="0.25">
      <c r="A3181" s="4" t="str">
        <f>CONCATENATE("3071-0000-8382","")</f>
        <v>3071-0000-8382</v>
      </c>
      <c r="B3181" s="4" t="s">
        <v>9698</v>
      </c>
      <c r="C3181" s="5">
        <v>41489</v>
      </c>
      <c r="D3181" s="5">
        <v>41549</v>
      </c>
      <c r="E3181" s="4" t="s">
        <v>5185</v>
      </c>
      <c r="F3181" s="4" t="s">
        <v>5185</v>
      </c>
    </row>
    <row r="3182" spans="1:6" x14ac:dyDescent="0.25">
      <c r="A3182" s="4" t="str">
        <f>CONCATENATE("3071-0000-9527","")</f>
        <v>3071-0000-9527</v>
      </c>
      <c r="B3182" s="4" t="s">
        <v>8631</v>
      </c>
      <c r="C3182" s="5">
        <v>41489</v>
      </c>
      <c r="D3182" s="5">
        <v>41549</v>
      </c>
      <c r="E3182" s="4" t="s">
        <v>1410</v>
      </c>
      <c r="F3182" s="4" t="s">
        <v>4459</v>
      </c>
    </row>
    <row r="3183" spans="1:6" x14ac:dyDescent="0.25">
      <c r="A3183" s="4" t="str">
        <f>CONCATENATE("3071-0000-5770","")</f>
        <v>3071-0000-5770</v>
      </c>
      <c r="B3183" s="4" t="s">
        <v>7000</v>
      </c>
      <c r="C3183" s="5">
        <v>41489</v>
      </c>
      <c r="D3183" s="5">
        <v>41549</v>
      </c>
      <c r="E3183" s="4" t="s">
        <v>5185</v>
      </c>
      <c r="F3183" s="4" t="s">
        <v>5185</v>
      </c>
    </row>
    <row r="3184" spans="1:6" x14ac:dyDescent="0.25">
      <c r="A3184" s="4" t="str">
        <f>CONCATENATE("3071-0000-4865","")</f>
        <v>3071-0000-4865</v>
      </c>
      <c r="B3184" s="4" t="s">
        <v>8880</v>
      </c>
      <c r="C3184" s="5">
        <v>41489</v>
      </c>
      <c r="D3184" s="5">
        <v>41549</v>
      </c>
      <c r="E3184" s="4" t="s">
        <v>1410</v>
      </c>
      <c r="F3184" s="4" t="s">
        <v>8851</v>
      </c>
    </row>
    <row r="3185" spans="1:6" x14ac:dyDescent="0.25">
      <c r="A3185" s="4" t="str">
        <f>CONCATENATE("3071-0000-1124","")</f>
        <v>3071-0000-1124</v>
      </c>
      <c r="B3185" s="4" t="s">
        <v>2154</v>
      </c>
      <c r="C3185" s="5">
        <v>41489</v>
      </c>
      <c r="D3185" s="5">
        <v>41549</v>
      </c>
      <c r="E3185" s="4" t="s">
        <v>1857</v>
      </c>
      <c r="F3185" s="4" t="s">
        <v>2144</v>
      </c>
    </row>
    <row r="3186" spans="1:6" x14ac:dyDescent="0.25">
      <c r="A3186" s="4" t="str">
        <f>CONCATENATE("3071-0000-3500","")</f>
        <v>3071-0000-3500</v>
      </c>
      <c r="B3186" s="4" t="s">
        <v>1800</v>
      </c>
      <c r="C3186" s="5">
        <v>41489</v>
      </c>
      <c r="D3186" s="5">
        <v>41549</v>
      </c>
      <c r="E3186" s="4" t="s">
        <v>1410</v>
      </c>
      <c r="F3186" s="4" t="s">
        <v>1411</v>
      </c>
    </row>
    <row r="3187" spans="1:6" x14ac:dyDescent="0.25">
      <c r="A3187" s="4" t="str">
        <f>CONCATENATE("3071-0000-4693","")</f>
        <v>3071-0000-4693</v>
      </c>
      <c r="B3187" s="4" t="s">
        <v>9212</v>
      </c>
      <c r="C3187" s="5">
        <v>41489</v>
      </c>
      <c r="D3187" s="5">
        <v>41549</v>
      </c>
      <c r="E3187" s="4" t="s">
        <v>1410</v>
      </c>
      <c r="F3187" s="4" t="s">
        <v>8696</v>
      </c>
    </row>
    <row r="3188" spans="1:6" x14ac:dyDescent="0.25">
      <c r="A3188" s="4" t="str">
        <f>CONCATENATE("3071-0000-7059","")</f>
        <v>3071-0000-7059</v>
      </c>
      <c r="B3188" s="4" t="s">
        <v>4844</v>
      </c>
      <c r="C3188" s="5">
        <v>41489</v>
      </c>
      <c r="D3188" s="5">
        <v>41549</v>
      </c>
      <c r="E3188" s="4" t="s">
        <v>1410</v>
      </c>
      <c r="F3188" s="4" t="s">
        <v>1410</v>
      </c>
    </row>
    <row r="3189" spans="1:6" x14ac:dyDescent="0.25">
      <c r="A3189" s="4" t="str">
        <f>CONCATENATE("3071-0000-6543","")</f>
        <v>3071-0000-6543</v>
      </c>
      <c r="B3189" s="4" t="s">
        <v>7755</v>
      </c>
      <c r="C3189" s="5">
        <v>41489</v>
      </c>
      <c r="D3189" s="5">
        <v>41549</v>
      </c>
      <c r="E3189" s="4" t="s">
        <v>5185</v>
      </c>
      <c r="F3189" s="4" t="s">
        <v>5185</v>
      </c>
    </row>
    <row r="3190" spans="1:6" x14ac:dyDescent="0.25">
      <c r="A3190" s="4" t="str">
        <f>CONCATENATE("3071-0000-0191","")</f>
        <v>3071-0000-0191</v>
      </c>
      <c r="B3190" s="4" t="s">
        <v>418</v>
      </c>
      <c r="C3190" s="5">
        <v>41489</v>
      </c>
      <c r="D3190" s="5">
        <v>41549</v>
      </c>
      <c r="E3190" s="4" t="s">
        <v>7</v>
      </c>
      <c r="F3190" s="4" t="s">
        <v>7</v>
      </c>
    </row>
    <row r="3191" spans="1:6" x14ac:dyDescent="0.25">
      <c r="A3191" s="4" t="str">
        <f>CONCATENATE("3071-0000-7309","")</f>
        <v>3071-0000-7309</v>
      </c>
      <c r="B3191" s="4" t="s">
        <v>4823</v>
      </c>
      <c r="C3191" s="5">
        <v>41489</v>
      </c>
      <c r="D3191" s="5">
        <v>41549</v>
      </c>
      <c r="E3191" s="4" t="s">
        <v>1410</v>
      </c>
      <c r="F3191" s="4" t="s">
        <v>1410</v>
      </c>
    </row>
    <row r="3192" spans="1:6" x14ac:dyDescent="0.25">
      <c r="A3192" s="4" t="str">
        <f>CONCATENATE("3071-0000-6290","")</f>
        <v>3071-0000-6290</v>
      </c>
      <c r="B3192" s="4" t="s">
        <v>7093</v>
      </c>
      <c r="C3192" s="5">
        <v>41489</v>
      </c>
      <c r="D3192" s="5">
        <v>41549</v>
      </c>
      <c r="E3192" s="4" t="s">
        <v>7069</v>
      </c>
      <c r="F3192" s="4" t="s">
        <v>7070</v>
      </c>
    </row>
    <row r="3193" spans="1:6" x14ac:dyDescent="0.25">
      <c r="A3193" s="4" t="str">
        <f>CONCATENATE("3071-0000-1769","")</f>
        <v>3071-0000-1769</v>
      </c>
      <c r="B3193" s="4" t="s">
        <v>2722</v>
      </c>
      <c r="C3193" s="5">
        <v>41489</v>
      </c>
      <c r="D3193" s="5">
        <v>41549</v>
      </c>
      <c r="E3193" s="4" t="s">
        <v>1381</v>
      </c>
      <c r="F3193" s="4" t="s">
        <v>2662</v>
      </c>
    </row>
    <row r="3194" spans="1:6" x14ac:dyDescent="0.25">
      <c r="A3194" s="4" t="str">
        <f>CONCATENATE("3071-0000-7776","")</f>
        <v>3071-0000-7776</v>
      </c>
      <c r="B3194" s="4" t="s">
        <v>4436</v>
      </c>
      <c r="C3194" s="5">
        <v>41489</v>
      </c>
      <c r="D3194" s="5">
        <v>41549</v>
      </c>
      <c r="E3194" s="4" t="s">
        <v>1410</v>
      </c>
      <c r="F3194" s="4" t="s">
        <v>1410</v>
      </c>
    </row>
    <row r="3195" spans="1:6" x14ac:dyDescent="0.25">
      <c r="A3195" s="4" t="str">
        <f>CONCATENATE("3071-0000-2027","")</f>
        <v>3071-0000-2027</v>
      </c>
      <c r="B3195" s="4" t="s">
        <v>3312</v>
      </c>
      <c r="C3195" s="5">
        <v>41489</v>
      </c>
      <c r="D3195" s="5">
        <v>41549</v>
      </c>
      <c r="E3195" s="4" t="s">
        <v>2944</v>
      </c>
      <c r="F3195" s="4" t="s">
        <v>2945</v>
      </c>
    </row>
    <row r="3196" spans="1:6" x14ac:dyDescent="0.25">
      <c r="A3196" s="4" t="str">
        <f>CONCATENATE("3071-0000-3663","")</f>
        <v>3071-0000-3663</v>
      </c>
      <c r="B3196" s="4" t="s">
        <v>1677</v>
      </c>
      <c r="C3196" s="5">
        <v>41489</v>
      </c>
      <c r="D3196" s="5">
        <v>41549</v>
      </c>
      <c r="E3196" s="4" t="s">
        <v>1410</v>
      </c>
      <c r="F3196" s="4" t="s">
        <v>1601</v>
      </c>
    </row>
    <row r="3197" spans="1:6" x14ac:dyDescent="0.25">
      <c r="A3197" s="4" t="str">
        <f>CONCATENATE("3071-0000-4497","")</f>
        <v>3071-0000-4497</v>
      </c>
      <c r="B3197" s="4" t="s">
        <v>9493</v>
      </c>
      <c r="C3197" s="5">
        <v>41489</v>
      </c>
      <c r="D3197" s="5">
        <v>41549</v>
      </c>
      <c r="E3197" s="4" t="s">
        <v>1410</v>
      </c>
      <c r="F3197" s="4" t="s">
        <v>8696</v>
      </c>
    </row>
    <row r="3198" spans="1:6" x14ac:dyDescent="0.25">
      <c r="A3198" s="4" t="str">
        <f>CONCATENATE("3071-0000-1397","")</f>
        <v>3071-0000-1397</v>
      </c>
      <c r="B3198" s="4" t="s">
        <v>2619</v>
      </c>
      <c r="C3198" s="5">
        <v>41489</v>
      </c>
      <c r="D3198" s="5">
        <v>41549</v>
      </c>
      <c r="E3198" s="4" t="s">
        <v>1381</v>
      </c>
      <c r="F3198" s="4" t="s">
        <v>2303</v>
      </c>
    </row>
    <row r="3199" spans="1:6" x14ac:dyDescent="0.25">
      <c r="A3199" s="4" t="str">
        <f>CONCATENATE("3071-0000-4290","")</f>
        <v>3071-0000-4290</v>
      </c>
      <c r="B3199" s="4" t="s">
        <v>8893</v>
      </c>
      <c r="C3199" s="5">
        <v>41489</v>
      </c>
      <c r="D3199" s="5">
        <v>41549</v>
      </c>
      <c r="E3199" s="4" t="s">
        <v>1410</v>
      </c>
      <c r="F3199" s="4" t="s">
        <v>8696</v>
      </c>
    </row>
    <row r="3200" spans="1:6" x14ac:dyDescent="0.25">
      <c r="A3200" s="4" t="str">
        <f>CONCATENATE("3071-0000-5118","")</f>
        <v>3071-0000-5118</v>
      </c>
      <c r="B3200" s="4" t="s">
        <v>8952</v>
      </c>
      <c r="C3200" s="5">
        <v>41489</v>
      </c>
      <c r="D3200" s="5">
        <v>41549</v>
      </c>
      <c r="E3200" s="4" t="s">
        <v>1410</v>
      </c>
      <c r="F3200" s="4" t="s">
        <v>8903</v>
      </c>
    </row>
    <row r="3201" spans="1:6" x14ac:dyDescent="0.25">
      <c r="A3201" s="4" t="str">
        <f>CONCATENATE("3071-0000-5628","")</f>
        <v>3071-0000-5628</v>
      </c>
      <c r="B3201" s="4" t="s">
        <v>7249</v>
      </c>
      <c r="C3201" s="5">
        <v>41489</v>
      </c>
      <c r="D3201" s="5">
        <v>41549</v>
      </c>
      <c r="E3201" s="4" t="s">
        <v>5185</v>
      </c>
      <c r="F3201" s="4" t="s">
        <v>5185</v>
      </c>
    </row>
    <row r="3202" spans="1:6" x14ac:dyDescent="0.25">
      <c r="A3202" s="4" t="str">
        <f>CONCATENATE("3071-0000-4875","")</f>
        <v>3071-0000-4875</v>
      </c>
      <c r="B3202" s="4" t="s">
        <v>8807</v>
      </c>
      <c r="C3202" s="5">
        <v>41489</v>
      </c>
      <c r="D3202" s="5">
        <v>41549</v>
      </c>
      <c r="E3202" s="4" t="s">
        <v>1410</v>
      </c>
      <c r="F3202" s="4" t="s">
        <v>5258</v>
      </c>
    </row>
    <row r="3203" spans="1:6" x14ac:dyDescent="0.25">
      <c r="A3203" s="4" t="str">
        <f>CONCATENATE("3071-0000-2658","")</f>
        <v>3071-0000-2658</v>
      </c>
      <c r="B3203" s="4" t="s">
        <v>3377</v>
      </c>
      <c r="C3203" s="5">
        <v>41489</v>
      </c>
      <c r="D3203" s="5">
        <v>41549</v>
      </c>
      <c r="E3203" s="4" t="s">
        <v>1857</v>
      </c>
      <c r="F3203" s="4" t="s">
        <v>3306</v>
      </c>
    </row>
    <row r="3204" spans="1:6" x14ac:dyDescent="0.25">
      <c r="A3204" s="4" t="str">
        <f>CONCATENATE("3071-0000-6721","")</f>
        <v>3071-0000-6721</v>
      </c>
      <c r="B3204" s="4" t="s">
        <v>8024</v>
      </c>
      <c r="C3204" s="5">
        <v>41489</v>
      </c>
      <c r="D3204" s="5">
        <v>41549</v>
      </c>
      <c r="E3204" s="4" t="s">
        <v>5185</v>
      </c>
      <c r="F3204" s="4" t="s">
        <v>5185</v>
      </c>
    </row>
    <row r="3205" spans="1:6" x14ac:dyDescent="0.25">
      <c r="A3205" s="4" t="str">
        <f>CONCATENATE("3071-0000-0590","")</f>
        <v>3071-0000-0590</v>
      </c>
      <c r="B3205" s="4" t="s">
        <v>281</v>
      </c>
      <c r="C3205" s="5">
        <v>41489</v>
      </c>
      <c r="D3205" s="5">
        <v>41549</v>
      </c>
      <c r="E3205" s="4" t="s">
        <v>7</v>
      </c>
      <c r="F3205" s="4" t="s">
        <v>7</v>
      </c>
    </row>
    <row r="3206" spans="1:6" x14ac:dyDescent="0.25">
      <c r="A3206" s="4" t="str">
        <f>CONCATENATE("3071-0000-7147","")</f>
        <v>3071-0000-7147</v>
      </c>
      <c r="B3206" s="4" t="s">
        <v>5088</v>
      </c>
      <c r="C3206" s="5">
        <v>41489</v>
      </c>
      <c r="D3206" s="5">
        <v>41549</v>
      </c>
      <c r="E3206" s="4" t="s">
        <v>1410</v>
      </c>
      <c r="F3206" s="4" t="s">
        <v>1410</v>
      </c>
    </row>
    <row r="3207" spans="1:6" x14ac:dyDescent="0.25">
      <c r="A3207" s="4" t="str">
        <f>CONCATENATE("3071-0000-3535","")</f>
        <v>3071-0000-3535</v>
      </c>
      <c r="B3207" s="4" t="s">
        <v>1780</v>
      </c>
      <c r="C3207" s="5">
        <v>41489</v>
      </c>
      <c r="D3207" s="5">
        <v>41549</v>
      </c>
      <c r="E3207" s="4" t="s">
        <v>1410</v>
      </c>
      <c r="F3207" s="4" t="s">
        <v>1411</v>
      </c>
    </row>
    <row r="3208" spans="1:6" x14ac:dyDescent="0.25">
      <c r="A3208" s="4" t="str">
        <f>CONCATENATE("3071-0000-5777","")</f>
        <v>3071-0000-5777</v>
      </c>
      <c r="B3208" s="4" t="s">
        <v>7013</v>
      </c>
      <c r="C3208" s="5">
        <v>41489</v>
      </c>
      <c r="D3208" s="5">
        <v>41549</v>
      </c>
      <c r="E3208" s="4" t="s">
        <v>5185</v>
      </c>
      <c r="F3208" s="4" t="s">
        <v>5185</v>
      </c>
    </row>
    <row r="3209" spans="1:6" x14ac:dyDescent="0.25">
      <c r="A3209" s="4" t="str">
        <f>CONCATENATE("3071-0000-5312","")</f>
        <v>3071-0000-5312</v>
      </c>
      <c r="B3209" s="4" t="s">
        <v>6804</v>
      </c>
      <c r="C3209" s="5">
        <v>41489</v>
      </c>
      <c r="D3209" s="5">
        <v>41549</v>
      </c>
      <c r="E3209" s="4" t="s">
        <v>5185</v>
      </c>
      <c r="F3209" s="4" t="s">
        <v>5185</v>
      </c>
    </row>
    <row r="3210" spans="1:6" x14ac:dyDescent="0.25">
      <c r="A3210" s="4" t="str">
        <f>CONCATENATE("3071-0000-9095","")</f>
        <v>3071-0000-9095</v>
      </c>
      <c r="B3210" s="4" t="s">
        <v>5267</v>
      </c>
      <c r="C3210" s="5">
        <v>41489</v>
      </c>
      <c r="D3210" s="5">
        <v>41549</v>
      </c>
      <c r="E3210" s="4" t="s">
        <v>5185</v>
      </c>
      <c r="F3210" s="4" t="s">
        <v>5185</v>
      </c>
    </row>
    <row r="3211" spans="1:6" x14ac:dyDescent="0.25">
      <c r="A3211" s="4" t="str">
        <f>CONCATENATE("3071-0000-0262","")</f>
        <v>3071-0000-0262</v>
      </c>
      <c r="B3211" s="4" t="s">
        <v>596</v>
      </c>
      <c r="C3211" s="5">
        <v>41489</v>
      </c>
      <c r="D3211" s="5">
        <v>41549</v>
      </c>
      <c r="E3211" s="4" t="s">
        <v>7</v>
      </c>
      <c r="F3211" s="4" t="s">
        <v>7</v>
      </c>
    </row>
    <row r="3212" spans="1:6" x14ac:dyDescent="0.25">
      <c r="A3212" s="4" t="str">
        <f>CONCATENATE("3071-0000-3798","")</f>
        <v>3071-0000-3798</v>
      </c>
      <c r="B3212" s="4" t="s">
        <v>3857</v>
      </c>
      <c r="C3212" s="5">
        <v>41489</v>
      </c>
      <c r="D3212" s="5">
        <v>41549</v>
      </c>
      <c r="E3212" s="4" t="s">
        <v>7</v>
      </c>
      <c r="F3212" s="4" t="s">
        <v>3818</v>
      </c>
    </row>
    <row r="3213" spans="1:6" x14ac:dyDescent="0.25">
      <c r="A3213" s="4" t="str">
        <f>CONCATENATE("3071-0000-4889","")</f>
        <v>3071-0000-4889</v>
      </c>
      <c r="B3213" s="4" t="s">
        <v>9352</v>
      </c>
      <c r="C3213" s="5">
        <v>41489</v>
      </c>
      <c r="D3213" s="5">
        <v>41549</v>
      </c>
      <c r="E3213" s="4" t="s">
        <v>7069</v>
      </c>
      <c r="F3213" s="4" t="s">
        <v>9210</v>
      </c>
    </row>
    <row r="3214" spans="1:6" x14ac:dyDescent="0.25">
      <c r="A3214" s="4" t="str">
        <f>CONCATENATE("3071-0000-3492","")</f>
        <v>3071-0000-3492</v>
      </c>
      <c r="B3214" s="4" t="s">
        <v>1788</v>
      </c>
      <c r="C3214" s="5">
        <v>41489</v>
      </c>
      <c r="D3214" s="5">
        <v>41549</v>
      </c>
      <c r="E3214" s="4" t="s">
        <v>1410</v>
      </c>
      <c r="F3214" s="4" t="s">
        <v>1411</v>
      </c>
    </row>
    <row r="3215" spans="1:6" x14ac:dyDescent="0.25">
      <c r="A3215" s="4" t="str">
        <f>CONCATENATE("3071-0000-5224","")</f>
        <v>3071-0000-5224</v>
      </c>
      <c r="B3215" s="4" t="s">
        <v>6662</v>
      </c>
      <c r="C3215" s="5">
        <v>41489</v>
      </c>
      <c r="D3215" s="5">
        <v>41549</v>
      </c>
      <c r="E3215" s="4" t="s">
        <v>5185</v>
      </c>
      <c r="F3215" s="4" t="s">
        <v>5185</v>
      </c>
    </row>
    <row r="3216" spans="1:6" x14ac:dyDescent="0.25">
      <c r="A3216" s="4" t="str">
        <f>CONCATENATE("3071-0000-7658","")</f>
        <v>3071-0000-7658</v>
      </c>
      <c r="B3216" s="4" t="s">
        <v>4922</v>
      </c>
      <c r="C3216" s="5">
        <v>41489</v>
      </c>
      <c r="D3216" s="5">
        <v>41549</v>
      </c>
      <c r="E3216" s="4" t="s">
        <v>1410</v>
      </c>
      <c r="F3216" s="4" t="s">
        <v>4616</v>
      </c>
    </row>
    <row r="3217" spans="1:6" x14ac:dyDescent="0.25">
      <c r="A3217" s="4" t="str">
        <f>CONCATENATE("3071-0000-0182","")</f>
        <v>3071-0000-0182</v>
      </c>
      <c r="B3217" s="4" t="s">
        <v>380</v>
      </c>
      <c r="C3217" s="5">
        <v>41489</v>
      </c>
      <c r="D3217" s="5">
        <v>41549</v>
      </c>
      <c r="E3217" s="4" t="s">
        <v>7</v>
      </c>
      <c r="F3217" s="4" t="s">
        <v>7</v>
      </c>
    </row>
    <row r="3218" spans="1:6" x14ac:dyDescent="0.25">
      <c r="A3218" s="4" t="str">
        <f>CONCATENATE("3071-0000-2309","")</f>
        <v>3071-0000-2309</v>
      </c>
      <c r="B3218" s="4" t="s">
        <v>3350</v>
      </c>
      <c r="C3218" s="5">
        <v>41489</v>
      </c>
      <c r="D3218" s="5">
        <v>41549</v>
      </c>
      <c r="E3218" s="4" t="s">
        <v>2944</v>
      </c>
      <c r="F3218" s="4" t="s">
        <v>2945</v>
      </c>
    </row>
    <row r="3219" spans="1:6" x14ac:dyDescent="0.25">
      <c r="A3219" s="4" t="str">
        <f>CONCATENATE("3071-0000-0089","")</f>
        <v>3071-0000-0089</v>
      </c>
      <c r="B3219" s="4" t="s">
        <v>174</v>
      </c>
      <c r="C3219" s="5">
        <v>41489</v>
      </c>
      <c r="D3219" s="5">
        <v>41549</v>
      </c>
      <c r="E3219" s="4" t="s">
        <v>7</v>
      </c>
      <c r="F3219" s="4" t="s">
        <v>7</v>
      </c>
    </row>
    <row r="3220" spans="1:6" x14ac:dyDescent="0.25">
      <c r="A3220" s="4" t="str">
        <f>CONCATENATE("3071-0000-6696","")</f>
        <v>3071-0000-6696</v>
      </c>
      <c r="B3220" s="4" t="s">
        <v>8002</v>
      </c>
      <c r="C3220" s="5">
        <v>41489</v>
      </c>
      <c r="D3220" s="5">
        <v>41549</v>
      </c>
      <c r="E3220" s="4" t="s">
        <v>5185</v>
      </c>
      <c r="F3220" s="4" t="s">
        <v>5185</v>
      </c>
    </row>
    <row r="3221" spans="1:6" x14ac:dyDescent="0.25">
      <c r="A3221" s="4" t="str">
        <f>CONCATENATE("3071-0000-7169","")</f>
        <v>3071-0000-7169</v>
      </c>
      <c r="B3221" s="4" t="s">
        <v>5074</v>
      </c>
      <c r="C3221" s="5">
        <v>41489</v>
      </c>
      <c r="D3221" s="5">
        <v>41549</v>
      </c>
      <c r="E3221" s="4" t="s">
        <v>1410</v>
      </c>
      <c r="F3221" s="4" t="s">
        <v>1410</v>
      </c>
    </row>
    <row r="3222" spans="1:6" x14ac:dyDescent="0.25">
      <c r="A3222" s="4" t="str">
        <f>CONCATENATE("3071-0000-4402","")</f>
        <v>3071-0000-4402</v>
      </c>
      <c r="B3222" s="4" t="s">
        <v>9257</v>
      </c>
      <c r="C3222" s="5">
        <v>41489</v>
      </c>
      <c r="D3222" s="5">
        <v>41549</v>
      </c>
      <c r="E3222" s="4" t="s">
        <v>1410</v>
      </c>
      <c r="F3222" s="4" t="s">
        <v>8696</v>
      </c>
    </row>
    <row r="3223" spans="1:6" x14ac:dyDescent="0.25">
      <c r="A3223" s="4" t="str">
        <f>CONCATENATE("3071-0000-4709","")</f>
        <v>3071-0000-4709</v>
      </c>
      <c r="B3223" s="4" t="s">
        <v>9645</v>
      </c>
      <c r="C3223" s="5">
        <v>41489</v>
      </c>
      <c r="D3223" s="5">
        <v>41549</v>
      </c>
      <c r="E3223" s="4" t="s">
        <v>1410</v>
      </c>
      <c r="F3223" s="4" t="s">
        <v>8696</v>
      </c>
    </row>
    <row r="3224" spans="1:6" x14ac:dyDescent="0.25">
      <c r="A3224" s="4" t="str">
        <f>CONCATENATE("3071-0000-0801","")</f>
        <v>3071-0000-0801</v>
      </c>
      <c r="B3224" s="4" t="s">
        <v>253</v>
      </c>
      <c r="C3224" s="5">
        <v>41489</v>
      </c>
      <c r="D3224" s="5">
        <v>41549</v>
      </c>
      <c r="E3224" s="4" t="s">
        <v>7</v>
      </c>
      <c r="F3224" s="4" t="s">
        <v>7</v>
      </c>
    </row>
    <row r="3225" spans="1:6" x14ac:dyDescent="0.25">
      <c r="A3225" s="4" t="str">
        <f>CONCATENATE("3071-0000-6663","")</f>
        <v>3071-0000-6663</v>
      </c>
      <c r="B3225" s="4" t="s">
        <v>7754</v>
      </c>
      <c r="C3225" s="5">
        <v>41489</v>
      </c>
      <c r="D3225" s="5">
        <v>41549</v>
      </c>
      <c r="E3225" s="4" t="s">
        <v>5185</v>
      </c>
      <c r="F3225" s="4" t="s">
        <v>5185</v>
      </c>
    </row>
    <row r="3226" spans="1:6" x14ac:dyDescent="0.25">
      <c r="A3226" s="4" t="str">
        <f>CONCATENATE("3071-0000-4737","")</f>
        <v>3071-0000-4737</v>
      </c>
      <c r="B3226" s="4" t="s">
        <v>9672</v>
      </c>
      <c r="C3226" s="5">
        <v>41489</v>
      </c>
      <c r="D3226" s="5">
        <v>41549</v>
      </c>
      <c r="E3226" s="4" t="s">
        <v>1410</v>
      </c>
      <c r="F3226" s="4" t="s">
        <v>8696</v>
      </c>
    </row>
    <row r="3227" spans="1:6" x14ac:dyDescent="0.25">
      <c r="A3227" s="4" t="str">
        <f>CONCATENATE("3071-0000-1497","")</f>
        <v>3071-0000-1497</v>
      </c>
      <c r="B3227" s="4" t="s">
        <v>2809</v>
      </c>
      <c r="C3227" s="5">
        <v>41489</v>
      </c>
      <c r="D3227" s="5">
        <v>41549</v>
      </c>
      <c r="E3227" s="4" t="s">
        <v>1381</v>
      </c>
      <c r="F3227" s="4" t="s">
        <v>2303</v>
      </c>
    </row>
    <row r="3228" spans="1:6" x14ac:dyDescent="0.25">
      <c r="A3228" s="4" t="str">
        <f>CONCATENATE("3071-0000-1331","")</f>
        <v>3071-0000-1331</v>
      </c>
      <c r="B3228" s="4" t="s">
        <v>2460</v>
      </c>
      <c r="C3228" s="5">
        <v>41489</v>
      </c>
      <c r="D3228" s="5">
        <v>41549</v>
      </c>
      <c r="E3228" s="4" t="s">
        <v>1381</v>
      </c>
      <c r="F3228" s="4" t="s">
        <v>2303</v>
      </c>
    </row>
    <row r="3229" spans="1:6" x14ac:dyDescent="0.25">
      <c r="A3229" s="4" t="str">
        <f>CONCATENATE("3071-0000-0360","")</f>
        <v>3071-0000-0360</v>
      </c>
      <c r="B3229" s="4" t="s">
        <v>619</v>
      </c>
      <c r="C3229" s="5">
        <v>41489</v>
      </c>
      <c r="D3229" s="5">
        <v>41549</v>
      </c>
      <c r="E3229" s="4" t="s">
        <v>7</v>
      </c>
      <c r="F3229" s="4" t="s">
        <v>7</v>
      </c>
    </row>
    <row r="3230" spans="1:6" x14ac:dyDescent="0.25">
      <c r="A3230" s="4" t="str">
        <f>CONCATENATE("3071-0000-1126","")</f>
        <v>3071-0000-1126</v>
      </c>
      <c r="B3230" s="4" t="s">
        <v>2204</v>
      </c>
      <c r="C3230" s="5">
        <v>41489</v>
      </c>
      <c r="D3230" s="5">
        <v>41549</v>
      </c>
      <c r="E3230" s="4" t="s">
        <v>1857</v>
      </c>
      <c r="F3230" s="4" t="s">
        <v>2108</v>
      </c>
    </row>
    <row r="3231" spans="1:6" x14ac:dyDescent="0.25">
      <c r="A3231" s="4" t="str">
        <f>CONCATENATE("3071-0000-5626","")</f>
        <v>3071-0000-5626</v>
      </c>
      <c r="B3231" s="4" t="s">
        <v>7214</v>
      </c>
      <c r="C3231" s="5">
        <v>41489</v>
      </c>
      <c r="D3231" s="5">
        <v>41549</v>
      </c>
      <c r="E3231" s="4" t="s">
        <v>5185</v>
      </c>
      <c r="F3231" s="4" t="s">
        <v>5185</v>
      </c>
    </row>
    <row r="3232" spans="1:6" x14ac:dyDescent="0.25">
      <c r="A3232" s="4" t="str">
        <f>CONCATENATE("3071-0000-5985","")</f>
        <v>3071-0000-5985</v>
      </c>
      <c r="B3232" s="4" t="s">
        <v>7241</v>
      </c>
      <c r="C3232" s="5">
        <v>41489</v>
      </c>
      <c r="D3232" s="5">
        <v>41549</v>
      </c>
      <c r="E3232" s="4" t="s">
        <v>5185</v>
      </c>
      <c r="F3232" s="4" t="s">
        <v>5185</v>
      </c>
    </row>
    <row r="3233" spans="1:6" x14ac:dyDescent="0.25">
      <c r="A3233" s="4" t="str">
        <f>CONCATENATE("3071-0000-5750","")</f>
        <v>3071-0000-5750</v>
      </c>
      <c r="B3233" s="4" t="s">
        <v>7217</v>
      </c>
      <c r="C3233" s="5">
        <v>41489</v>
      </c>
      <c r="D3233" s="5">
        <v>41549</v>
      </c>
      <c r="E3233" s="4" t="s">
        <v>5185</v>
      </c>
      <c r="F3233" s="4" t="s">
        <v>5185</v>
      </c>
    </row>
    <row r="3234" spans="1:6" x14ac:dyDescent="0.25">
      <c r="A3234" s="4" t="str">
        <f>CONCATENATE("3071-0000-2817","")</f>
        <v>3071-0000-2817</v>
      </c>
      <c r="B3234" s="4" t="s">
        <v>1031</v>
      </c>
      <c r="C3234" s="5">
        <v>41489</v>
      </c>
      <c r="D3234" s="5">
        <v>41549</v>
      </c>
      <c r="E3234" s="4" t="s">
        <v>7</v>
      </c>
      <c r="F3234" s="4" t="s">
        <v>808</v>
      </c>
    </row>
    <row r="3235" spans="1:6" x14ac:dyDescent="0.25">
      <c r="A3235" s="4" t="str">
        <f>CONCATENATE("3071-0000-7375","")</f>
        <v>3071-0000-7375</v>
      </c>
      <c r="B3235" s="4" t="s">
        <v>4572</v>
      </c>
      <c r="C3235" s="5">
        <v>41489</v>
      </c>
      <c r="D3235" s="5">
        <v>41549</v>
      </c>
      <c r="E3235" s="4" t="s">
        <v>1410</v>
      </c>
      <c r="F3235" s="4" t="s">
        <v>1410</v>
      </c>
    </row>
    <row r="3236" spans="1:6" x14ac:dyDescent="0.25">
      <c r="A3236" s="4" t="str">
        <f>CONCATENATE("3071-0000-6054","")</f>
        <v>3071-0000-6054</v>
      </c>
      <c r="B3236" s="4" t="s">
        <v>7023</v>
      </c>
      <c r="C3236" s="5">
        <v>41489</v>
      </c>
      <c r="D3236" s="5">
        <v>41549</v>
      </c>
      <c r="E3236" s="4" t="s">
        <v>1410</v>
      </c>
      <c r="F3236" s="4" t="s">
        <v>6798</v>
      </c>
    </row>
    <row r="3237" spans="1:6" x14ac:dyDescent="0.25">
      <c r="A3237" s="4" t="str">
        <f>CONCATENATE("3071-0000-6450","")</f>
        <v>3071-0000-6450</v>
      </c>
      <c r="B3237" s="4" t="s">
        <v>8090</v>
      </c>
      <c r="C3237" s="5">
        <v>41489</v>
      </c>
      <c r="D3237" s="5">
        <v>41549</v>
      </c>
      <c r="E3237" s="4" t="s">
        <v>5185</v>
      </c>
      <c r="F3237" s="4" t="s">
        <v>5185</v>
      </c>
    </row>
    <row r="3238" spans="1:6" x14ac:dyDescent="0.25">
      <c r="A3238" s="4" t="str">
        <f>CONCATENATE("3071-0000-5144","")</f>
        <v>3071-0000-5144</v>
      </c>
      <c r="B3238" s="4" t="s">
        <v>8970</v>
      </c>
      <c r="C3238" s="5">
        <v>41489</v>
      </c>
      <c r="D3238" s="5">
        <v>41549</v>
      </c>
      <c r="E3238" s="4" t="s">
        <v>1410</v>
      </c>
      <c r="F3238" s="4" t="s">
        <v>8903</v>
      </c>
    </row>
    <row r="3239" spans="1:6" x14ac:dyDescent="0.25">
      <c r="A3239" s="4" t="str">
        <f>CONCATENATE("3071-0000-4836","")</f>
        <v>3071-0000-4836</v>
      </c>
      <c r="B3239" s="4" t="s">
        <v>8887</v>
      </c>
      <c r="C3239" s="5">
        <v>41489</v>
      </c>
      <c r="D3239" s="5">
        <v>41549</v>
      </c>
      <c r="E3239" s="4" t="s">
        <v>1410</v>
      </c>
      <c r="F3239" s="4" t="s">
        <v>8696</v>
      </c>
    </row>
    <row r="3240" spans="1:6" x14ac:dyDescent="0.25">
      <c r="A3240" s="4" t="str">
        <f>CONCATENATE("3071-0000-4728","")</f>
        <v>3071-0000-4728</v>
      </c>
      <c r="B3240" s="4" t="s">
        <v>9694</v>
      </c>
      <c r="C3240" s="5">
        <v>41489</v>
      </c>
      <c r="D3240" s="5">
        <v>41549</v>
      </c>
      <c r="E3240" s="4" t="s">
        <v>1410</v>
      </c>
      <c r="F3240" s="4" t="s">
        <v>8696</v>
      </c>
    </row>
    <row r="3241" spans="1:6" x14ac:dyDescent="0.25">
      <c r="A3241" s="4" t="str">
        <f>CONCATENATE("3071-0000-5115","")</f>
        <v>3071-0000-5115</v>
      </c>
      <c r="B3241" s="4" t="s">
        <v>8953</v>
      </c>
      <c r="C3241" s="5">
        <v>41489</v>
      </c>
      <c r="D3241" s="5">
        <v>41549</v>
      </c>
      <c r="E3241" s="4" t="s">
        <v>1410</v>
      </c>
      <c r="F3241" s="4" t="s">
        <v>8903</v>
      </c>
    </row>
    <row r="3242" spans="1:6" x14ac:dyDescent="0.25">
      <c r="A3242" s="4" t="str">
        <f>CONCATENATE("3071-0000-7553","")</f>
        <v>3071-0000-7553</v>
      </c>
      <c r="B3242" s="4" t="s">
        <v>4382</v>
      </c>
      <c r="C3242" s="5">
        <v>41489</v>
      </c>
      <c r="D3242" s="5">
        <v>41549</v>
      </c>
      <c r="E3242" s="4" t="s">
        <v>1410</v>
      </c>
      <c r="F3242" s="4" t="s">
        <v>1410</v>
      </c>
    </row>
    <row r="3243" spans="1:6" x14ac:dyDescent="0.25">
      <c r="A3243" s="4" t="str">
        <f>CONCATENATE("3071-0000-4271","")</f>
        <v>3071-0000-4271</v>
      </c>
      <c r="B3243" s="4" t="s">
        <v>8897</v>
      </c>
      <c r="C3243" s="5">
        <v>41489</v>
      </c>
      <c r="D3243" s="5">
        <v>41549</v>
      </c>
      <c r="E3243" s="4" t="s">
        <v>1410</v>
      </c>
      <c r="F3243" s="4" t="s">
        <v>8696</v>
      </c>
    </row>
    <row r="3244" spans="1:6" x14ac:dyDescent="0.25">
      <c r="A3244" s="4" t="str">
        <f>CONCATENATE("3071-0000-3382","")</f>
        <v>3071-0000-3382</v>
      </c>
      <c r="B3244" s="4" t="s">
        <v>1526</v>
      </c>
      <c r="C3244" s="5">
        <v>41489</v>
      </c>
      <c r="D3244" s="5">
        <v>41549</v>
      </c>
      <c r="E3244" s="4" t="s">
        <v>1410</v>
      </c>
      <c r="F3244" s="4" t="s">
        <v>1411</v>
      </c>
    </row>
    <row r="3245" spans="1:6" x14ac:dyDescent="0.25">
      <c r="A3245" s="4" t="str">
        <f>CONCATENATE("3071-0000-5805","")</f>
        <v>3071-0000-5805</v>
      </c>
      <c r="B3245" s="4" t="s">
        <v>7016</v>
      </c>
      <c r="C3245" s="5">
        <v>41489</v>
      </c>
      <c r="D3245" s="5">
        <v>41549</v>
      </c>
      <c r="E3245" s="4" t="s">
        <v>5185</v>
      </c>
      <c r="F3245" s="4" t="s">
        <v>5185</v>
      </c>
    </row>
    <row r="3246" spans="1:6" x14ac:dyDescent="0.25">
      <c r="A3246" s="4" t="str">
        <f>CONCATENATE("3071-0000-0410","")</f>
        <v>3071-0000-0410</v>
      </c>
      <c r="B3246" s="4" t="s">
        <v>623</v>
      </c>
      <c r="C3246" s="5">
        <v>41489</v>
      </c>
      <c r="D3246" s="5">
        <v>41549</v>
      </c>
      <c r="E3246" s="4" t="s">
        <v>7</v>
      </c>
      <c r="F3246" s="4" t="s">
        <v>7</v>
      </c>
    </row>
    <row r="3247" spans="1:6" x14ac:dyDescent="0.25">
      <c r="A3247" s="4" t="str">
        <f>CONCATENATE("3071-0000-0271","")</f>
        <v>3071-0000-0271</v>
      </c>
      <c r="B3247" s="4" t="s">
        <v>659</v>
      </c>
      <c r="C3247" s="5">
        <v>41489</v>
      </c>
      <c r="D3247" s="5">
        <v>41549</v>
      </c>
      <c r="E3247" s="4" t="s">
        <v>7</v>
      </c>
      <c r="F3247" s="4" t="s">
        <v>7</v>
      </c>
    </row>
    <row r="3248" spans="1:6" x14ac:dyDescent="0.25">
      <c r="A3248" s="4" t="str">
        <f>CONCATENATE("3071-0000-1438","")</f>
        <v>3071-0000-1438</v>
      </c>
      <c r="B3248" s="4" t="s">
        <v>2668</v>
      </c>
      <c r="C3248" s="5">
        <v>41489</v>
      </c>
      <c r="D3248" s="5">
        <v>41549</v>
      </c>
      <c r="E3248" s="4" t="s">
        <v>1381</v>
      </c>
      <c r="F3248" s="4" t="s">
        <v>2303</v>
      </c>
    </row>
    <row r="3249" spans="1:6" x14ac:dyDescent="0.25">
      <c r="A3249" s="4" t="str">
        <f>CONCATENATE("3071-0000-5140","")</f>
        <v>3071-0000-5140</v>
      </c>
      <c r="B3249" s="4" t="s">
        <v>8971</v>
      </c>
      <c r="C3249" s="5">
        <v>41489</v>
      </c>
      <c r="D3249" s="5">
        <v>41549</v>
      </c>
      <c r="E3249" s="4" t="s">
        <v>1410</v>
      </c>
      <c r="F3249" s="4" t="s">
        <v>8903</v>
      </c>
    </row>
    <row r="3250" spans="1:6" x14ac:dyDescent="0.25">
      <c r="A3250" s="4" t="str">
        <f>CONCATENATE("3071-0000-7025","")</f>
        <v>3071-0000-7025</v>
      </c>
      <c r="B3250" s="4" t="s">
        <v>4802</v>
      </c>
      <c r="C3250" s="5">
        <v>41489</v>
      </c>
      <c r="D3250" s="5">
        <v>41549</v>
      </c>
      <c r="E3250" s="4" t="s">
        <v>1410</v>
      </c>
      <c r="F3250" s="4" t="s">
        <v>1410</v>
      </c>
    </row>
    <row r="3251" spans="1:6" x14ac:dyDescent="0.25">
      <c r="A3251" s="4" t="str">
        <f>CONCATENATE("3071-0000-4730","")</f>
        <v>3071-0000-4730</v>
      </c>
      <c r="B3251" s="4" t="s">
        <v>9652</v>
      </c>
      <c r="C3251" s="5">
        <v>41489</v>
      </c>
      <c r="D3251" s="5">
        <v>41549</v>
      </c>
      <c r="E3251" s="4" t="s">
        <v>1410</v>
      </c>
      <c r="F3251" s="4" t="s">
        <v>8696</v>
      </c>
    </row>
    <row r="3252" spans="1:6" x14ac:dyDescent="0.25">
      <c r="A3252" s="4" t="str">
        <f>CONCATENATE("3071-0000-6671","")</f>
        <v>3071-0000-6671</v>
      </c>
      <c r="B3252" s="4" t="s">
        <v>7752</v>
      </c>
      <c r="C3252" s="5">
        <v>41489</v>
      </c>
      <c r="D3252" s="5">
        <v>41549</v>
      </c>
      <c r="E3252" s="4" t="s">
        <v>5185</v>
      </c>
      <c r="F3252" s="4" t="s">
        <v>5185</v>
      </c>
    </row>
    <row r="3253" spans="1:6" x14ac:dyDescent="0.25">
      <c r="A3253" s="4" t="str">
        <f>CONCATENATE("3071-0000-6042","")</f>
        <v>3071-0000-6042</v>
      </c>
      <c r="B3253" s="4" t="s">
        <v>6946</v>
      </c>
      <c r="C3253" s="5">
        <v>41489</v>
      </c>
      <c r="D3253" s="5">
        <v>41549</v>
      </c>
      <c r="E3253" s="4" t="s">
        <v>1410</v>
      </c>
      <c r="F3253" s="4" t="s">
        <v>4616</v>
      </c>
    </row>
    <row r="3254" spans="1:6" x14ac:dyDescent="0.25">
      <c r="A3254" s="4" t="str">
        <f>CONCATENATE("3071-0000-2024","")</f>
        <v>3071-0000-2024</v>
      </c>
      <c r="B3254" s="4" t="s">
        <v>3309</v>
      </c>
      <c r="C3254" s="5">
        <v>41489</v>
      </c>
      <c r="D3254" s="5">
        <v>41549</v>
      </c>
      <c r="E3254" s="4" t="s">
        <v>2944</v>
      </c>
      <c r="F3254" s="4" t="s">
        <v>2945</v>
      </c>
    </row>
    <row r="3255" spans="1:6" x14ac:dyDescent="0.25">
      <c r="A3255" s="4" t="str">
        <f>CONCATENATE("3071-0000-1341","")</f>
        <v>3071-0000-1341</v>
      </c>
      <c r="B3255" s="4" t="s">
        <v>2476</v>
      </c>
      <c r="C3255" s="5">
        <v>41489</v>
      </c>
      <c r="D3255" s="5">
        <v>41549</v>
      </c>
      <c r="E3255" s="4" t="s">
        <v>1381</v>
      </c>
      <c r="F3255" s="4" t="s">
        <v>2303</v>
      </c>
    </row>
    <row r="3256" spans="1:6" x14ac:dyDescent="0.25">
      <c r="A3256" s="4" t="str">
        <f>CONCATENATE("3071-0000-5397","")</f>
        <v>3071-0000-5397</v>
      </c>
      <c r="B3256" s="4" t="s">
        <v>6626</v>
      </c>
      <c r="C3256" s="5">
        <v>41489</v>
      </c>
      <c r="D3256" s="5">
        <v>41549</v>
      </c>
      <c r="E3256" s="4" t="s">
        <v>1410</v>
      </c>
      <c r="F3256" s="4" t="s">
        <v>4616</v>
      </c>
    </row>
    <row r="3257" spans="1:6" x14ac:dyDescent="0.25">
      <c r="A3257" s="4" t="str">
        <f>CONCATENATE("3071-0000-3501","")</f>
        <v>3071-0000-3501</v>
      </c>
      <c r="B3257" s="4" t="s">
        <v>1802</v>
      </c>
      <c r="C3257" s="5">
        <v>41489</v>
      </c>
      <c r="D3257" s="5">
        <v>41549</v>
      </c>
      <c r="E3257" s="4" t="s">
        <v>1410</v>
      </c>
      <c r="F3257" s="4" t="s">
        <v>1411</v>
      </c>
    </row>
    <row r="3258" spans="1:6" x14ac:dyDescent="0.25">
      <c r="A3258" s="4" t="str">
        <f>CONCATENATE("3071-0000-6599","")</f>
        <v>3071-0000-6599</v>
      </c>
      <c r="B3258" s="4" t="s">
        <v>7981</v>
      </c>
      <c r="C3258" s="5">
        <v>41489</v>
      </c>
      <c r="D3258" s="5">
        <v>41549</v>
      </c>
      <c r="E3258" s="4" t="s">
        <v>5185</v>
      </c>
      <c r="F3258" s="4" t="s">
        <v>5185</v>
      </c>
    </row>
    <row r="3259" spans="1:6" x14ac:dyDescent="0.25">
      <c r="A3259" s="4" t="str">
        <f>CONCATENATE("3071-0000-7500","")</f>
        <v>3071-0000-7500</v>
      </c>
      <c r="B3259" s="4" t="s">
        <v>4579</v>
      </c>
      <c r="C3259" s="5">
        <v>41489</v>
      </c>
      <c r="D3259" s="5">
        <v>41549</v>
      </c>
      <c r="E3259" s="4" t="s">
        <v>1410</v>
      </c>
      <c r="F3259" s="4" t="s">
        <v>1410</v>
      </c>
    </row>
    <row r="3260" spans="1:6" x14ac:dyDescent="0.25">
      <c r="A3260" s="4" t="str">
        <f>CONCATENATE("3071-0000-9246","")</f>
        <v>3071-0000-9246</v>
      </c>
      <c r="B3260" s="4" t="s">
        <v>8338</v>
      </c>
      <c r="C3260" s="5">
        <v>41489</v>
      </c>
      <c r="D3260" s="5">
        <v>41549</v>
      </c>
      <c r="E3260" s="4" t="s">
        <v>5185</v>
      </c>
      <c r="F3260" s="4" t="s">
        <v>5185</v>
      </c>
    </row>
    <row r="3261" spans="1:6" x14ac:dyDescent="0.25">
      <c r="A3261" s="4" t="str">
        <f>CONCATENATE("3071-0000-6433","")</f>
        <v>3071-0000-6433</v>
      </c>
      <c r="B3261" s="4" t="s">
        <v>8140</v>
      </c>
      <c r="C3261" s="5">
        <v>41489</v>
      </c>
      <c r="D3261" s="5">
        <v>41549</v>
      </c>
      <c r="E3261" s="4" t="s">
        <v>5185</v>
      </c>
      <c r="F3261" s="4" t="s">
        <v>5185</v>
      </c>
    </row>
    <row r="3262" spans="1:6" x14ac:dyDescent="0.25">
      <c r="A3262" s="4" t="str">
        <f>CONCATENATE("3071-0000-6445","")</f>
        <v>3071-0000-6445</v>
      </c>
      <c r="B3262" s="4" t="s">
        <v>8085</v>
      </c>
      <c r="C3262" s="5">
        <v>41489</v>
      </c>
      <c r="D3262" s="5">
        <v>41549</v>
      </c>
      <c r="E3262" s="4" t="s">
        <v>5185</v>
      </c>
      <c r="F3262" s="4" t="s">
        <v>5185</v>
      </c>
    </row>
    <row r="3263" spans="1:6" x14ac:dyDescent="0.25">
      <c r="A3263" s="4" t="str">
        <f>CONCATENATE("3071-0000-7398","")</f>
        <v>3071-0000-7398</v>
      </c>
      <c r="B3263" s="4" t="s">
        <v>5086</v>
      </c>
      <c r="C3263" s="5">
        <v>41489</v>
      </c>
      <c r="D3263" s="5">
        <v>41549</v>
      </c>
      <c r="E3263" s="4" t="s">
        <v>1410</v>
      </c>
      <c r="F3263" s="4" t="s">
        <v>4616</v>
      </c>
    </row>
    <row r="3264" spans="1:6" x14ac:dyDescent="0.25">
      <c r="A3264" s="4" t="str">
        <f>CONCATENATE("3071-0000-3824","")</f>
        <v>3071-0000-3824</v>
      </c>
      <c r="B3264" s="4" t="s">
        <v>3999</v>
      </c>
      <c r="C3264" s="5">
        <v>41489</v>
      </c>
      <c r="D3264" s="5">
        <v>41549</v>
      </c>
      <c r="E3264" s="4" t="s">
        <v>1381</v>
      </c>
      <c r="F3264" s="4" t="s">
        <v>3994</v>
      </c>
    </row>
    <row r="3265" spans="1:6" x14ac:dyDescent="0.25">
      <c r="A3265" s="4" t="str">
        <f>CONCATENATE("3071-0000-6924","")</f>
        <v>3071-0000-6924</v>
      </c>
      <c r="B3265" s="4" t="s">
        <v>4594</v>
      </c>
      <c r="C3265" s="5">
        <v>41489</v>
      </c>
      <c r="D3265" s="5">
        <v>41549</v>
      </c>
      <c r="E3265" s="4" t="s">
        <v>1410</v>
      </c>
      <c r="F3265" s="4" t="s">
        <v>1410</v>
      </c>
    </row>
    <row r="3266" spans="1:6" x14ac:dyDescent="0.25">
      <c r="A3266" s="4" t="str">
        <f>CONCATENATE("3071-0000-5214","")</f>
        <v>3071-0000-5214</v>
      </c>
      <c r="B3266" s="4" t="s">
        <v>6650</v>
      </c>
      <c r="C3266" s="5">
        <v>41489</v>
      </c>
      <c r="D3266" s="5">
        <v>41549</v>
      </c>
      <c r="E3266" s="4" t="s">
        <v>5185</v>
      </c>
      <c r="F3266" s="4" t="s">
        <v>5185</v>
      </c>
    </row>
    <row r="3267" spans="1:6" x14ac:dyDescent="0.25">
      <c r="A3267" s="4" t="str">
        <f>CONCATENATE("3071-0000-5404","")</f>
        <v>3071-0000-5404</v>
      </c>
      <c r="B3267" s="4" t="s">
        <v>6619</v>
      </c>
      <c r="C3267" s="5">
        <v>41489</v>
      </c>
      <c r="D3267" s="5">
        <v>41549</v>
      </c>
      <c r="E3267" s="4" t="s">
        <v>5185</v>
      </c>
      <c r="F3267" s="4" t="s">
        <v>5185</v>
      </c>
    </row>
    <row r="3268" spans="1:6" x14ac:dyDescent="0.25">
      <c r="A3268" s="4" t="str">
        <f>CONCATENATE("3071-0000-7740","")</f>
        <v>3071-0000-7740</v>
      </c>
      <c r="B3268" s="4" t="s">
        <v>5010</v>
      </c>
      <c r="C3268" s="5">
        <v>41489</v>
      </c>
      <c r="D3268" s="5">
        <v>41549</v>
      </c>
      <c r="E3268" s="4" t="s">
        <v>1410</v>
      </c>
      <c r="F3268" s="4" t="s">
        <v>4616</v>
      </c>
    </row>
    <row r="3269" spans="1:6" x14ac:dyDescent="0.25">
      <c r="A3269" s="4" t="str">
        <f>CONCATENATE("3071-0000-2812","")</f>
        <v>3071-0000-2812</v>
      </c>
      <c r="B3269" s="4" t="s">
        <v>1014</v>
      </c>
      <c r="C3269" s="5">
        <v>41489</v>
      </c>
      <c r="D3269" s="5">
        <v>41549</v>
      </c>
      <c r="E3269" s="4" t="s">
        <v>7</v>
      </c>
      <c r="F3269" s="4" t="s">
        <v>808</v>
      </c>
    </row>
    <row r="3270" spans="1:6" x14ac:dyDescent="0.25">
      <c r="A3270" s="4" t="str">
        <f>CONCATENATE("3071-0000-4347","")</f>
        <v>3071-0000-4347</v>
      </c>
      <c r="B3270" s="4" t="s">
        <v>9108</v>
      </c>
      <c r="C3270" s="5">
        <v>41489</v>
      </c>
      <c r="D3270" s="5">
        <v>41549</v>
      </c>
      <c r="E3270" s="4" t="s">
        <v>1410</v>
      </c>
      <c r="F3270" s="4" t="s">
        <v>8696</v>
      </c>
    </row>
    <row r="3271" spans="1:6" x14ac:dyDescent="0.25">
      <c r="A3271" s="4" t="str">
        <f>CONCATENATE("3071-0000-5323","")</f>
        <v>3071-0000-5323</v>
      </c>
      <c r="B3271" s="4" t="s">
        <v>6692</v>
      </c>
      <c r="C3271" s="5">
        <v>41489</v>
      </c>
      <c r="D3271" s="5">
        <v>41549</v>
      </c>
      <c r="E3271" s="4" t="s">
        <v>5185</v>
      </c>
      <c r="F3271" s="4" t="s">
        <v>5185</v>
      </c>
    </row>
    <row r="3272" spans="1:6" x14ac:dyDescent="0.25">
      <c r="A3272" s="4" t="str">
        <f>CONCATENATE("3071-0000-5213","")</f>
        <v>3071-0000-5213</v>
      </c>
      <c r="B3272" s="4" t="s">
        <v>6745</v>
      </c>
      <c r="C3272" s="5">
        <v>41489</v>
      </c>
      <c r="D3272" s="5">
        <v>41549</v>
      </c>
      <c r="E3272" s="4" t="s">
        <v>1410</v>
      </c>
      <c r="F3272" s="4" t="s">
        <v>6635</v>
      </c>
    </row>
    <row r="3273" spans="1:6" x14ac:dyDescent="0.25">
      <c r="A3273" s="4" t="str">
        <f>CONCATENATE("3071-0000-6614","")</f>
        <v>3071-0000-6614</v>
      </c>
      <c r="B3273" s="4" t="s">
        <v>7969</v>
      </c>
      <c r="C3273" s="5">
        <v>41489</v>
      </c>
      <c r="D3273" s="5">
        <v>41549</v>
      </c>
      <c r="E3273" s="4" t="s">
        <v>5185</v>
      </c>
      <c r="F3273" s="4" t="s">
        <v>5185</v>
      </c>
    </row>
    <row r="3274" spans="1:6" x14ac:dyDescent="0.25">
      <c r="A3274" s="4" t="str">
        <f>CONCATENATE("3071-0000-5420","")</f>
        <v>3071-0000-5420</v>
      </c>
      <c r="B3274" s="4" t="s">
        <v>6911</v>
      </c>
      <c r="C3274" s="5">
        <v>41489</v>
      </c>
      <c r="D3274" s="5">
        <v>41549</v>
      </c>
      <c r="E3274" s="4" t="s">
        <v>5185</v>
      </c>
      <c r="F3274" s="4" t="s">
        <v>5185</v>
      </c>
    </row>
    <row r="3275" spans="1:6" x14ac:dyDescent="0.25">
      <c r="A3275" s="4" t="str">
        <f>CONCATENATE("3071-0000-4077","")</f>
        <v>3071-0000-4077</v>
      </c>
      <c r="B3275" s="4" t="s">
        <v>3960</v>
      </c>
      <c r="C3275" s="5">
        <v>41489</v>
      </c>
      <c r="D3275" s="5">
        <v>41549</v>
      </c>
      <c r="E3275" s="4" t="s">
        <v>7</v>
      </c>
      <c r="F3275" s="4" t="s">
        <v>1419</v>
      </c>
    </row>
    <row r="3276" spans="1:6" x14ac:dyDescent="0.25">
      <c r="A3276" s="4" t="str">
        <f>CONCATENATE("3071-0000-5013","")</f>
        <v>3071-0000-5013</v>
      </c>
      <c r="B3276" s="4" t="s">
        <v>9688</v>
      </c>
      <c r="C3276" s="5">
        <v>41489</v>
      </c>
      <c r="D3276" s="5">
        <v>41549</v>
      </c>
      <c r="E3276" s="4" t="s">
        <v>7069</v>
      </c>
      <c r="F3276" s="4" t="s">
        <v>9554</v>
      </c>
    </row>
    <row r="3277" spans="1:6" x14ac:dyDescent="0.25">
      <c r="A3277" s="4" t="str">
        <f>CONCATENATE("3071-0000-6552","")</f>
        <v>3071-0000-6552</v>
      </c>
      <c r="B3277" s="4" t="s">
        <v>7801</v>
      </c>
      <c r="C3277" s="5">
        <v>41489</v>
      </c>
      <c r="D3277" s="5">
        <v>41549</v>
      </c>
      <c r="E3277" s="4" t="s">
        <v>5185</v>
      </c>
      <c r="F3277" s="4" t="s">
        <v>5185</v>
      </c>
    </row>
    <row r="3278" spans="1:6" x14ac:dyDescent="0.25">
      <c r="A3278" s="4" t="str">
        <f>CONCATENATE("3071-0000-8635","")</f>
        <v>3071-0000-8635</v>
      </c>
      <c r="B3278" s="4" t="s">
        <v>5491</v>
      </c>
      <c r="C3278" s="5">
        <v>41489</v>
      </c>
      <c r="D3278" s="5">
        <v>41549</v>
      </c>
      <c r="E3278" s="4" t="s">
        <v>5185</v>
      </c>
      <c r="F3278" s="4" t="s">
        <v>5250</v>
      </c>
    </row>
    <row r="3279" spans="1:6" x14ac:dyDescent="0.25">
      <c r="A3279" s="4" t="str">
        <f>CONCATENATE("3071-0000-6809","")</f>
        <v>3071-0000-6809</v>
      </c>
      <c r="B3279" s="4" t="s">
        <v>8269</v>
      </c>
      <c r="C3279" s="5">
        <v>41489</v>
      </c>
      <c r="D3279" s="5">
        <v>41549</v>
      </c>
      <c r="E3279" s="4" t="s">
        <v>1410</v>
      </c>
      <c r="F3279" s="4" t="s">
        <v>7967</v>
      </c>
    </row>
    <row r="3280" spans="1:6" x14ac:dyDescent="0.25">
      <c r="A3280" s="4" t="str">
        <f>CONCATENATE("3071-0000-9439","")</f>
        <v>3071-0000-9439</v>
      </c>
      <c r="B3280" s="4" t="s">
        <v>8430</v>
      </c>
      <c r="C3280" s="5">
        <v>41489</v>
      </c>
      <c r="D3280" s="5">
        <v>41549</v>
      </c>
      <c r="E3280" s="4" t="s">
        <v>1410</v>
      </c>
      <c r="F3280" s="4" t="s">
        <v>7967</v>
      </c>
    </row>
    <row r="3281" spans="1:6" x14ac:dyDescent="0.25">
      <c r="A3281" s="4" t="str">
        <f>CONCATENATE("3071-0000-7146","")</f>
        <v>3071-0000-7146</v>
      </c>
      <c r="B3281" s="4" t="s">
        <v>4968</v>
      </c>
      <c r="C3281" s="5">
        <v>41489</v>
      </c>
      <c r="D3281" s="5">
        <v>41549</v>
      </c>
      <c r="E3281" s="4" t="s">
        <v>1410</v>
      </c>
      <c r="F3281" s="4" t="s">
        <v>1410</v>
      </c>
    </row>
    <row r="3282" spans="1:6" x14ac:dyDescent="0.25">
      <c r="A3282" s="4" t="str">
        <f>CONCATENATE("3071-0000-4738","")</f>
        <v>3071-0000-4738</v>
      </c>
      <c r="B3282" s="4" t="s">
        <v>9679</v>
      </c>
      <c r="C3282" s="5">
        <v>41489</v>
      </c>
      <c r="D3282" s="5">
        <v>41549</v>
      </c>
      <c r="E3282" s="4" t="s">
        <v>1410</v>
      </c>
      <c r="F3282" s="4" t="s">
        <v>8696</v>
      </c>
    </row>
    <row r="3283" spans="1:6" x14ac:dyDescent="0.25">
      <c r="A3283" s="4" t="str">
        <f>CONCATENATE("3071-0000-7219","")</f>
        <v>3071-0000-7219</v>
      </c>
      <c r="B3283" s="4" t="s">
        <v>4984</v>
      </c>
      <c r="C3283" s="5">
        <v>41489</v>
      </c>
      <c r="D3283" s="5">
        <v>41549</v>
      </c>
      <c r="E3283" s="4" t="s">
        <v>1410</v>
      </c>
      <c r="F3283" s="4" t="s">
        <v>1410</v>
      </c>
    </row>
    <row r="3284" spans="1:6" x14ac:dyDescent="0.25">
      <c r="A3284" s="4" t="str">
        <f>CONCATENATE("3071-0000-4621","")</f>
        <v>3071-0000-4621</v>
      </c>
      <c r="B3284" s="4" t="s">
        <v>9472</v>
      </c>
      <c r="C3284" s="5">
        <v>41489</v>
      </c>
      <c r="D3284" s="5">
        <v>41549</v>
      </c>
      <c r="E3284" s="4" t="s">
        <v>1410</v>
      </c>
      <c r="F3284" s="4" t="s">
        <v>8696</v>
      </c>
    </row>
    <row r="3285" spans="1:6" x14ac:dyDescent="0.25">
      <c r="A3285" s="4" t="str">
        <f>CONCATENATE("3071-0000-5426","")</f>
        <v>3071-0000-5426</v>
      </c>
      <c r="B3285" s="4" t="s">
        <v>6921</v>
      </c>
      <c r="C3285" s="5">
        <v>41489</v>
      </c>
      <c r="D3285" s="5">
        <v>41549</v>
      </c>
      <c r="E3285" s="4" t="s">
        <v>5185</v>
      </c>
      <c r="F3285" s="4" t="s">
        <v>5185</v>
      </c>
    </row>
    <row r="3286" spans="1:6" x14ac:dyDescent="0.25">
      <c r="A3286" s="4" t="str">
        <f>CONCATENATE("3071-0000-7464","")</f>
        <v>3071-0000-7464</v>
      </c>
      <c r="B3286" s="4" t="s">
        <v>4720</v>
      </c>
      <c r="C3286" s="5">
        <v>41489</v>
      </c>
      <c r="D3286" s="5">
        <v>41549</v>
      </c>
      <c r="E3286" s="4" t="s">
        <v>1410</v>
      </c>
      <c r="F3286" s="4" t="s">
        <v>4655</v>
      </c>
    </row>
    <row r="3287" spans="1:6" x14ac:dyDescent="0.25">
      <c r="A3287" s="4" t="str">
        <f>CONCATENATE("3071-0000-7042","")</f>
        <v>3071-0000-7042</v>
      </c>
      <c r="B3287" s="4" t="s">
        <v>4812</v>
      </c>
      <c r="C3287" s="5">
        <v>41489</v>
      </c>
      <c r="D3287" s="5">
        <v>41549</v>
      </c>
      <c r="E3287" s="4" t="s">
        <v>1410</v>
      </c>
      <c r="F3287" s="4" t="s">
        <v>1410</v>
      </c>
    </row>
    <row r="3288" spans="1:6" x14ac:dyDescent="0.25">
      <c r="A3288" s="4" t="str">
        <f>CONCATENATE("3071-0000-6597","")</f>
        <v>3071-0000-6597</v>
      </c>
      <c r="B3288" s="4" t="s">
        <v>7979</v>
      </c>
      <c r="C3288" s="5">
        <v>41489</v>
      </c>
      <c r="D3288" s="5">
        <v>41549</v>
      </c>
      <c r="E3288" s="4" t="s">
        <v>5185</v>
      </c>
      <c r="F3288" s="4" t="s">
        <v>5185</v>
      </c>
    </row>
    <row r="3289" spans="1:6" x14ac:dyDescent="0.25">
      <c r="A3289" s="4" t="str">
        <f>CONCATENATE("3071-0000-7018","")</f>
        <v>3071-0000-7018</v>
      </c>
      <c r="B3289" s="4" t="s">
        <v>4660</v>
      </c>
      <c r="C3289" s="5">
        <v>41489</v>
      </c>
      <c r="D3289" s="5">
        <v>41549</v>
      </c>
      <c r="E3289" s="4" t="s">
        <v>1410</v>
      </c>
      <c r="F3289" s="4" t="s">
        <v>1410</v>
      </c>
    </row>
    <row r="3290" spans="1:6" x14ac:dyDescent="0.25">
      <c r="A3290" s="4" t="str">
        <f>CONCATENATE("3071-0000-6733","")</f>
        <v>3071-0000-6733</v>
      </c>
      <c r="B3290" s="4" t="s">
        <v>7775</v>
      </c>
      <c r="C3290" s="5">
        <v>41489</v>
      </c>
      <c r="D3290" s="5">
        <v>41549</v>
      </c>
      <c r="E3290" s="4" t="s">
        <v>5185</v>
      </c>
      <c r="F3290" s="4" t="s">
        <v>5185</v>
      </c>
    </row>
    <row r="3291" spans="1:6" x14ac:dyDescent="0.25">
      <c r="A3291" s="4" t="str">
        <f>CONCATENATE("3071-0000-9240","")</f>
        <v>3071-0000-9240</v>
      </c>
      <c r="B3291" s="4" t="s">
        <v>8346</v>
      </c>
      <c r="C3291" s="5">
        <v>41489</v>
      </c>
      <c r="D3291" s="5">
        <v>41549</v>
      </c>
      <c r="E3291" s="4" t="s">
        <v>5185</v>
      </c>
      <c r="F3291" s="4" t="s">
        <v>5185</v>
      </c>
    </row>
    <row r="3292" spans="1:6" x14ac:dyDescent="0.25">
      <c r="A3292" s="4" t="str">
        <f>CONCATENATE("3071-0000-7036","")</f>
        <v>3071-0000-7036</v>
      </c>
      <c r="B3292" s="4" t="s">
        <v>4874</v>
      </c>
      <c r="C3292" s="5">
        <v>41489</v>
      </c>
      <c r="D3292" s="5">
        <v>41549</v>
      </c>
      <c r="E3292" s="4" t="s">
        <v>1410</v>
      </c>
      <c r="F3292" s="4" t="s">
        <v>1410</v>
      </c>
    </row>
    <row r="3293" spans="1:6" x14ac:dyDescent="0.25">
      <c r="A3293" s="4" t="str">
        <f>CONCATENATE("3071-0000-2343","")</f>
        <v>3071-0000-2343</v>
      </c>
      <c r="B3293" s="4" t="s">
        <v>2991</v>
      </c>
      <c r="C3293" s="5">
        <v>41489</v>
      </c>
      <c r="D3293" s="5">
        <v>41549</v>
      </c>
      <c r="E3293" s="4" t="s">
        <v>2944</v>
      </c>
      <c r="F3293" s="4" t="s">
        <v>2945</v>
      </c>
    </row>
    <row r="3294" spans="1:6" x14ac:dyDescent="0.25">
      <c r="A3294" s="4" t="str">
        <f>CONCATENATE("3071-0000-2697","")</f>
        <v>3071-0000-2697</v>
      </c>
      <c r="B3294" s="4" t="s">
        <v>3654</v>
      </c>
      <c r="C3294" s="5">
        <v>41489</v>
      </c>
      <c r="D3294" s="5">
        <v>41549</v>
      </c>
      <c r="E3294" s="4" t="s">
        <v>2944</v>
      </c>
      <c r="F3294" s="4" t="s">
        <v>3164</v>
      </c>
    </row>
    <row r="3295" spans="1:6" x14ac:dyDescent="0.25">
      <c r="A3295" s="4" t="str">
        <f>CONCATENATE("3071-0000-6627","")</f>
        <v>3071-0000-6627</v>
      </c>
      <c r="B3295" s="4" t="s">
        <v>8222</v>
      </c>
      <c r="C3295" s="5">
        <v>41489</v>
      </c>
      <c r="D3295" s="5">
        <v>41549</v>
      </c>
      <c r="E3295" s="4" t="s">
        <v>5185</v>
      </c>
      <c r="F3295" s="4" t="s">
        <v>5185</v>
      </c>
    </row>
    <row r="3296" spans="1:6" x14ac:dyDescent="0.25">
      <c r="A3296" s="4" t="str">
        <f>CONCATENATE("3071-0000-1967","")</f>
        <v>3071-0000-1967</v>
      </c>
      <c r="B3296" s="4" t="s">
        <v>3096</v>
      </c>
      <c r="C3296" s="5">
        <v>41489</v>
      </c>
      <c r="D3296" s="5">
        <v>41549</v>
      </c>
      <c r="E3296" s="4" t="s">
        <v>2944</v>
      </c>
      <c r="F3296" s="4" t="s">
        <v>2945</v>
      </c>
    </row>
    <row r="3297" spans="1:6" x14ac:dyDescent="0.25">
      <c r="A3297" s="4" t="str">
        <f>CONCATENATE("3071-0000-2519","")</f>
        <v>3071-0000-2519</v>
      </c>
      <c r="B3297" s="4" t="s">
        <v>3609</v>
      </c>
      <c r="C3297" s="5">
        <v>41489</v>
      </c>
      <c r="D3297" s="5">
        <v>41549</v>
      </c>
      <c r="E3297" s="4" t="s">
        <v>2944</v>
      </c>
      <c r="F3297" s="4" t="s">
        <v>3567</v>
      </c>
    </row>
    <row r="3298" spans="1:6" x14ac:dyDescent="0.25">
      <c r="A3298" s="4" t="str">
        <f>CONCATENATE("3071-0000-7505","")</f>
        <v>3071-0000-7505</v>
      </c>
      <c r="B3298" s="4" t="s">
        <v>4398</v>
      </c>
      <c r="C3298" s="5">
        <v>41489</v>
      </c>
      <c r="D3298" s="5">
        <v>41549</v>
      </c>
      <c r="E3298" s="4" t="s">
        <v>1410</v>
      </c>
      <c r="F3298" s="4" t="s">
        <v>1410</v>
      </c>
    </row>
    <row r="3299" spans="1:6" x14ac:dyDescent="0.25">
      <c r="A3299" s="4" t="str">
        <f>CONCATENATE("3071-0000-6737","")</f>
        <v>3071-0000-6737</v>
      </c>
      <c r="B3299" s="4" t="s">
        <v>8178</v>
      </c>
      <c r="C3299" s="5">
        <v>41489</v>
      </c>
      <c r="D3299" s="5">
        <v>41549</v>
      </c>
      <c r="E3299" s="4" t="s">
        <v>1410</v>
      </c>
      <c r="F3299" s="4" t="s">
        <v>7967</v>
      </c>
    </row>
    <row r="3300" spans="1:6" x14ac:dyDescent="0.25">
      <c r="A3300" s="4" t="str">
        <f>CONCATENATE("3071-0000-2138","")</f>
        <v>3071-0000-2138</v>
      </c>
      <c r="B3300" s="4" t="s">
        <v>3581</v>
      </c>
      <c r="C3300" s="5">
        <v>41489</v>
      </c>
      <c r="D3300" s="5">
        <v>41549</v>
      </c>
      <c r="E3300" s="4" t="s">
        <v>2944</v>
      </c>
      <c r="F3300" s="4" t="s">
        <v>2945</v>
      </c>
    </row>
    <row r="3301" spans="1:6" x14ac:dyDescent="0.25">
      <c r="A3301" s="4" t="str">
        <f>CONCATENATE("3071-0000-7234","")</f>
        <v>3071-0000-7234</v>
      </c>
      <c r="B3301" s="4" t="s">
        <v>4924</v>
      </c>
      <c r="C3301" s="5">
        <v>41489</v>
      </c>
      <c r="D3301" s="5">
        <v>41549</v>
      </c>
      <c r="E3301" s="4" t="s">
        <v>1410</v>
      </c>
      <c r="F3301" s="4" t="s">
        <v>1410</v>
      </c>
    </row>
    <row r="3302" spans="1:6" x14ac:dyDescent="0.25">
      <c r="A3302" s="4" t="str">
        <f>CONCATENATE("3071-0000-6004","")</f>
        <v>3071-0000-6004</v>
      </c>
      <c r="B3302" s="4" t="s">
        <v>7117</v>
      </c>
      <c r="C3302" s="5">
        <v>41489</v>
      </c>
      <c r="D3302" s="5">
        <v>41549</v>
      </c>
      <c r="E3302" s="4" t="s">
        <v>5185</v>
      </c>
      <c r="F3302" s="4" t="s">
        <v>5185</v>
      </c>
    </row>
    <row r="3303" spans="1:6" x14ac:dyDescent="0.25">
      <c r="A3303" s="4" t="str">
        <f>CONCATENATE("3071-0000-6988","")</f>
        <v>3071-0000-6988</v>
      </c>
      <c r="B3303" s="4" t="s">
        <v>4350</v>
      </c>
      <c r="C3303" s="5">
        <v>41489</v>
      </c>
      <c r="D3303" s="5">
        <v>41549</v>
      </c>
      <c r="E3303" s="4" t="s">
        <v>1410</v>
      </c>
      <c r="F3303" s="4" t="s">
        <v>1410</v>
      </c>
    </row>
    <row r="3304" spans="1:6" x14ac:dyDescent="0.25">
      <c r="A3304" s="4" t="str">
        <f>CONCATENATE("3071-0000-7337","")</f>
        <v>3071-0000-7337</v>
      </c>
      <c r="B3304" s="4" t="s">
        <v>4873</v>
      </c>
      <c r="C3304" s="5">
        <v>41489</v>
      </c>
      <c r="D3304" s="5">
        <v>41549</v>
      </c>
      <c r="E3304" s="4" t="s">
        <v>1410</v>
      </c>
      <c r="F3304" s="4" t="s">
        <v>1410</v>
      </c>
    </row>
    <row r="3305" spans="1:6" x14ac:dyDescent="0.25">
      <c r="A3305" s="4" t="str">
        <f>CONCATENATE("3071-0000-8664","")</f>
        <v>3071-0000-8664</v>
      </c>
      <c r="B3305" s="4" t="s">
        <v>6388</v>
      </c>
      <c r="C3305" s="5">
        <v>41489</v>
      </c>
      <c r="D3305" s="5">
        <v>41549</v>
      </c>
      <c r="E3305" s="4" t="s">
        <v>5185</v>
      </c>
      <c r="F3305" s="4" t="s">
        <v>5292</v>
      </c>
    </row>
    <row r="3306" spans="1:6" x14ac:dyDescent="0.25">
      <c r="A3306" s="4" t="str">
        <f>CONCATENATE("3071-0000-5980","")</f>
        <v>3071-0000-5980</v>
      </c>
      <c r="B3306" s="4" t="s">
        <v>7232</v>
      </c>
      <c r="C3306" s="5">
        <v>41489</v>
      </c>
      <c r="D3306" s="5">
        <v>41549</v>
      </c>
      <c r="E3306" s="4" t="s">
        <v>5185</v>
      </c>
      <c r="F3306" s="4" t="s">
        <v>5185</v>
      </c>
    </row>
    <row r="3307" spans="1:6" x14ac:dyDescent="0.25">
      <c r="A3307" s="4" t="str">
        <f>CONCATENATE("3071-0000-9132","")</f>
        <v>3071-0000-9132</v>
      </c>
      <c r="B3307" s="4" t="s">
        <v>6433</v>
      </c>
      <c r="C3307" s="5">
        <v>41489</v>
      </c>
      <c r="D3307" s="5">
        <v>41549</v>
      </c>
      <c r="E3307" s="4" t="s">
        <v>5185</v>
      </c>
      <c r="F3307" s="4" t="s">
        <v>5292</v>
      </c>
    </row>
    <row r="3308" spans="1:6" x14ac:dyDescent="0.25">
      <c r="A3308" s="4" t="str">
        <f>CONCATENATE("3071-0000-7559","")</f>
        <v>3071-0000-7559</v>
      </c>
      <c r="B3308" s="4" t="s">
        <v>4368</v>
      </c>
      <c r="C3308" s="5">
        <v>41489</v>
      </c>
      <c r="D3308" s="5">
        <v>41549</v>
      </c>
      <c r="E3308" s="4" t="s">
        <v>1410</v>
      </c>
      <c r="F3308" s="4" t="s">
        <v>1410</v>
      </c>
    </row>
    <row r="3309" spans="1:6" x14ac:dyDescent="0.25">
      <c r="A3309" s="4" t="str">
        <f>CONCATENATE("3071-0000-8713","")</f>
        <v>3071-0000-8713</v>
      </c>
      <c r="B3309" s="4" t="s">
        <v>6448</v>
      </c>
      <c r="C3309" s="5">
        <v>41489</v>
      </c>
      <c r="D3309" s="5">
        <v>41549</v>
      </c>
      <c r="E3309" s="4" t="s">
        <v>5185</v>
      </c>
      <c r="F3309" s="4" t="s">
        <v>5292</v>
      </c>
    </row>
    <row r="3310" spans="1:6" x14ac:dyDescent="0.25">
      <c r="A3310" s="4" t="str">
        <f>CONCATENATE("3071-0000-4542","")</f>
        <v>3071-0000-4542</v>
      </c>
      <c r="B3310" s="4" t="s">
        <v>9068</v>
      </c>
      <c r="C3310" s="5">
        <v>41489</v>
      </c>
      <c r="D3310" s="5">
        <v>41549</v>
      </c>
      <c r="E3310" s="4" t="s">
        <v>1410</v>
      </c>
      <c r="F3310" s="4" t="s">
        <v>8696</v>
      </c>
    </row>
    <row r="3311" spans="1:6" x14ac:dyDescent="0.25">
      <c r="A3311" s="4" t="str">
        <f>CONCATENATE("3071-0000-0288","")</f>
        <v>3071-0000-0288</v>
      </c>
      <c r="B3311" s="4" t="s">
        <v>117</v>
      </c>
      <c r="C3311" s="5">
        <v>41489</v>
      </c>
      <c r="D3311" s="5">
        <v>41549</v>
      </c>
      <c r="E3311" s="4" t="s">
        <v>7</v>
      </c>
      <c r="F3311" s="4" t="s">
        <v>7</v>
      </c>
    </row>
    <row r="3312" spans="1:6" x14ac:dyDescent="0.25">
      <c r="A3312" s="4" t="str">
        <f>CONCATENATE("3071-0000-3803","")</f>
        <v>3071-0000-3803</v>
      </c>
      <c r="B3312" s="4" t="s">
        <v>3860</v>
      </c>
      <c r="C3312" s="5">
        <v>41489</v>
      </c>
      <c r="D3312" s="5">
        <v>41549</v>
      </c>
      <c r="E3312" s="4" t="s">
        <v>7</v>
      </c>
      <c r="F3312" s="4" t="s">
        <v>3818</v>
      </c>
    </row>
    <row r="3313" spans="1:6" x14ac:dyDescent="0.25">
      <c r="A3313" s="4" t="str">
        <f>CONCATENATE("3071-0000-3135","")</f>
        <v>3071-0000-3135</v>
      </c>
      <c r="B3313" s="4" t="s">
        <v>1257</v>
      </c>
      <c r="C3313" s="5">
        <v>41489</v>
      </c>
      <c r="D3313" s="5">
        <v>41549</v>
      </c>
      <c r="E3313" s="4" t="s">
        <v>7</v>
      </c>
      <c r="F3313" s="4" t="s">
        <v>808</v>
      </c>
    </row>
    <row r="3314" spans="1:6" x14ac:dyDescent="0.25">
      <c r="A3314" s="4" t="str">
        <f>CONCATENATE("3071-0000-3799","")</f>
        <v>3071-0000-3799</v>
      </c>
      <c r="B3314" s="4" t="s">
        <v>3832</v>
      </c>
      <c r="C3314" s="5">
        <v>41489</v>
      </c>
      <c r="D3314" s="5">
        <v>41549</v>
      </c>
      <c r="E3314" s="4" t="s">
        <v>7</v>
      </c>
      <c r="F3314" s="4" t="s">
        <v>3818</v>
      </c>
    </row>
    <row r="3315" spans="1:6" x14ac:dyDescent="0.25">
      <c r="A3315" s="4" t="str">
        <f>CONCATENATE("3071-0000-2785","")</f>
        <v>3071-0000-2785</v>
      </c>
      <c r="B3315" s="4" t="s">
        <v>954</v>
      </c>
      <c r="C3315" s="5">
        <v>41489</v>
      </c>
      <c r="D3315" s="5">
        <v>41549</v>
      </c>
      <c r="E3315" s="4" t="s">
        <v>7</v>
      </c>
      <c r="F3315" s="4" t="s">
        <v>808</v>
      </c>
    </row>
    <row r="3316" spans="1:6" x14ac:dyDescent="0.25">
      <c r="A3316" s="4" t="str">
        <f>CONCATENATE("3071-0000-3291","")</f>
        <v>3071-0000-3291</v>
      </c>
      <c r="B3316" s="4" t="s">
        <v>1196</v>
      </c>
      <c r="C3316" s="5">
        <v>41489</v>
      </c>
      <c r="D3316" s="5">
        <v>41549</v>
      </c>
      <c r="E3316" s="4" t="s">
        <v>7</v>
      </c>
      <c r="F3316" s="4" t="s">
        <v>808</v>
      </c>
    </row>
    <row r="3317" spans="1:6" x14ac:dyDescent="0.25">
      <c r="A3317" s="4" t="str">
        <f>CONCATENATE("3071-0000-6301","")</f>
        <v>3071-0000-6301</v>
      </c>
      <c r="B3317" s="4" t="s">
        <v>7108</v>
      </c>
      <c r="C3317" s="5">
        <v>41489</v>
      </c>
      <c r="D3317" s="5">
        <v>41549</v>
      </c>
      <c r="E3317" s="4" t="s">
        <v>7069</v>
      </c>
      <c r="F3317" s="4" t="s">
        <v>7070</v>
      </c>
    </row>
    <row r="3318" spans="1:6" x14ac:dyDescent="0.25">
      <c r="A3318" s="4" t="str">
        <f>CONCATENATE("3071-0000-7841","")</f>
        <v>3071-0000-7841</v>
      </c>
      <c r="B3318" s="4" t="s">
        <v>6185</v>
      </c>
      <c r="C3318" s="5">
        <v>41489</v>
      </c>
      <c r="D3318" s="5">
        <v>41549</v>
      </c>
      <c r="E3318" s="4" t="s">
        <v>5185</v>
      </c>
      <c r="F3318" s="4" t="s">
        <v>5185</v>
      </c>
    </row>
    <row r="3319" spans="1:6" x14ac:dyDescent="0.25">
      <c r="A3319" s="4" t="str">
        <f>CONCATENATE("3071-0000-5979","")</f>
        <v>3071-0000-5979</v>
      </c>
      <c r="B3319" s="4" t="s">
        <v>7236</v>
      </c>
      <c r="C3319" s="5">
        <v>41489</v>
      </c>
      <c r="D3319" s="5">
        <v>41549</v>
      </c>
      <c r="E3319" s="4" t="s">
        <v>5185</v>
      </c>
      <c r="F3319" s="4" t="s">
        <v>5185</v>
      </c>
    </row>
    <row r="3320" spans="1:6" x14ac:dyDescent="0.25">
      <c r="A3320" s="4" t="str">
        <f>CONCATENATE("3071-0000-5012","")</f>
        <v>3071-0000-5012</v>
      </c>
      <c r="B3320" s="4" t="s">
        <v>9424</v>
      </c>
      <c r="C3320" s="5">
        <v>41489</v>
      </c>
      <c r="D3320" s="5">
        <v>41549</v>
      </c>
      <c r="E3320" s="4" t="s">
        <v>7069</v>
      </c>
      <c r="F3320" s="4" t="s">
        <v>9210</v>
      </c>
    </row>
    <row r="3321" spans="1:6" x14ac:dyDescent="0.25">
      <c r="A3321" s="4" t="str">
        <f>CONCATENATE("3071-0000-4851","")</f>
        <v>3071-0000-4851</v>
      </c>
      <c r="B3321" s="4" t="s">
        <v>9291</v>
      </c>
      <c r="C3321" s="5">
        <v>41489</v>
      </c>
      <c r="D3321" s="5">
        <v>41549</v>
      </c>
      <c r="E3321" s="4" t="s">
        <v>1410</v>
      </c>
      <c r="F3321" s="4" t="s">
        <v>8696</v>
      </c>
    </row>
    <row r="3322" spans="1:6" x14ac:dyDescent="0.25">
      <c r="A3322" s="4" t="str">
        <f>CONCATENATE("3071-0000-4968","")</f>
        <v>3071-0000-4968</v>
      </c>
      <c r="B3322" s="4" t="s">
        <v>9154</v>
      </c>
      <c r="C3322" s="5">
        <v>41489</v>
      </c>
      <c r="D3322" s="5">
        <v>41549</v>
      </c>
      <c r="E3322" s="4" t="s">
        <v>7069</v>
      </c>
      <c r="F3322" s="4" t="s">
        <v>8783</v>
      </c>
    </row>
    <row r="3323" spans="1:6" x14ac:dyDescent="0.25">
      <c r="A3323" s="4" t="str">
        <f>CONCATENATE("3071-0000-4958","")</f>
        <v>3071-0000-4958</v>
      </c>
      <c r="B3323" s="4" t="s">
        <v>9158</v>
      </c>
      <c r="C3323" s="5">
        <v>41489</v>
      </c>
      <c r="D3323" s="5">
        <v>41549</v>
      </c>
      <c r="E3323" s="4" t="s">
        <v>7069</v>
      </c>
      <c r="F3323" s="4" t="s">
        <v>7070</v>
      </c>
    </row>
    <row r="3324" spans="1:6" x14ac:dyDescent="0.25">
      <c r="A3324" s="4" t="str">
        <f>CONCATENATE("3071-0000-5295","")</f>
        <v>3071-0000-5295</v>
      </c>
      <c r="B3324" s="4" t="s">
        <v>6793</v>
      </c>
      <c r="C3324" s="5">
        <v>41489</v>
      </c>
      <c r="D3324" s="5">
        <v>41549</v>
      </c>
      <c r="E3324" s="4" t="s">
        <v>5185</v>
      </c>
      <c r="F3324" s="4" t="s">
        <v>5185</v>
      </c>
    </row>
    <row r="3325" spans="1:6" x14ac:dyDescent="0.25">
      <c r="A3325" s="4" t="str">
        <f>CONCATENATE("3071-0000-4619","")</f>
        <v>3071-0000-4619</v>
      </c>
      <c r="B3325" s="4" t="s">
        <v>9470</v>
      </c>
      <c r="C3325" s="5">
        <v>41489</v>
      </c>
      <c r="D3325" s="5">
        <v>41549</v>
      </c>
      <c r="E3325" s="4" t="s">
        <v>1410</v>
      </c>
      <c r="F3325" s="4" t="s">
        <v>8696</v>
      </c>
    </row>
    <row r="3326" spans="1:6" x14ac:dyDescent="0.25">
      <c r="A3326" s="4" t="str">
        <f>CONCATENATE("3071-0000-5240","")</f>
        <v>3071-0000-5240</v>
      </c>
      <c r="B3326" s="4" t="s">
        <v>6729</v>
      </c>
      <c r="C3326" s="5">
        <v>41489</v>
      </c>
      <c r="D3326" s="5">
        <v>41549</v>
      </c>
      <c r="E3326" s="4" t="s">
        <v>5185</v>
      </c>
      <c r="F3326" s="4" t="s">
        <v>5185</v>
      </c>
    </row>
    <row r="3327" spans="1:6" x14ac:dyDescent="0.25">
      <c r="A3327" s="4" t="str">
        <f>CONCATENATE("3071-0000-6280","")</f>
        <v>3071-0000-6280</v>
      </c>
      <c r="B3327" s="4" t="s">
        <v>7098</v>
      </c>
      <c r="C3327" s="5">
        <v>41489</v>
      </c>
      <c r="D3327" s="5">
        <v>41549</v>
      </c>
      <c r="E3327" s="4" t="s">
        <v>7069</v>
      </c>
      <c r="F3327" s="4" t="s">
        <v>7070</v>
      </c>
    </row>
    <row r="3328" spans="1:6" x14ac:dyDescent="0.25">
      <c r="A3328" s="4" t="str">
        <f>CONCATENATE("3071-0000-8728","")</f>
        <v>3071-0000-8728</v>
      </c>
      <c r="B3328" s="4" t="s">
        <v>6541</v>
      </c>
      <c r="C3328" s="5">
        <v>41489</v>
      </c>
      <c r="D3328" s="5">
        <v>41549</v>
      </c>
      <c r="E3328" s="4" t="s">
        <v>5185</v>
      </c>
      <c r="F3328" s="4" t="s">
        <v>5292</v>
      </c>
    </row>
    <row r="3329" spans="1:6" x14ac:dyDescent="0.25">
      <c r="A3329" s="4" t="str">
        <f>CONCATENATE("3071-0000-4625","")</f>
        <v>3071-0000-4625</v>
      </c>
      <c r="B3329" s="4" t="s">
        <v>9476</v>
      </c>
      <c r="C3329" s="5">
        <v>41489</v>
      </c>
      <c r="D3329" s="5">
        <v>41549</v>
      </c>
      <c r="E3329" s="4" t="s">
        <v>1410</v>
      </c>
      <c r="F3329" s="4" t="s">
        <v>8696</v>
      </c>
    </row>
    <row r="3330" spans="1:6" x14ac:dyDescent="0.25">
      <c r="A3330" s="4" t="str">
        <f>CONCATENATE("3071-0000-8439","")</f>
        <v>3071-0000-8439</v>
      </c>
      <c r="B3330" s="4" t="s">
        <v>5779</v>
      </c>
      <c r="C3330" s="5">
        <v>41489</v>
      </c>
      <c r="D3330" s="5">
        <v>41549</v>
      </c>
      <c r="E3330" s="4" t="s">
        <v>5185</v>
      </c>
      <c r="F3330" s="4" t="s">
        <v>5763</v>
      </c>
    </row>
    <row r="3331" spans="1:6" x14ac:dyDescent="0.25">
      <c r="A3331" s="4" t="str">
        <f>CONCATENATE("3071-0000-8833","")</f>
        <v>3071-0000-8833</v>
      </c>
      <c r="B3331" s="4" t="s">
        <v>5774</v>
      </c>
      <c r="C3331" s="5">
        <v>41489</v>
      </c>
      <c r="D3331" s="5">
        <v>41549</v>
      </c>
      <c r="E3331" s="4" t="s">
        <v>5185</v>
      </c>
      <c r="F3331" s="4" t="s">
        <v>5763</v>
      </c>
    </row>
    <row r="3332" spans="1:6" x14ac:dyDescent="0.25">
      <c r="A3332" s="4" t="str">
        <f>CONCATENATE("3071-0000-7940","")</f>
        <v>3071-0000-7940</v>
      </c>
      <c r="B3332" s="4" t="s">
        <v>5573</v>
      </c>
      <c r="C3332" s="5">
        <v>41489</v>
      </c>
      <c r="D3332" s="5">
        <v>41549</v>
      </c>
      <c r="E3332" s="4" t="s">
        <v>5185</v>
      </c>
      <c r="F3332" s="4" t="s">
        <v>5185</v>
      </c>
    </row>
    <row r="3333" spans="1:6" x14ac:dyDescent="0.25">
      <c r="A3333" s="4" t="str">
        <f>CONCATENATE("3071-0000-5445","")</f>
        <v>3071-0000-5445</v>
      </c>
      <c r="B3333" s="4" t="s">
        <v>6894</v>
      </c>
      <c r="C3333" s="5">
        <v>41489</v>
      </c>
      <c r="D3333" s="5">
        <v>41549</v>
      </c>
      <c r="E3333" s="4" t="s">
        <v>5185</v>
      </c>
      <c r="F3333" s="4" t="s">
        <v>5185</v>
      </c>
    </row>
    <row r="3334" spans="1:6" x14ac:dyDescent="0.25">
      <c r="A3334" s="4" t="str">
        <f>CONCATENATE("3071-0000-4806","")</f>
        <v>3071-0000-4806</v>
      </c>
      <c r="B3334" s="4" t="s">
        <v>9417</v>
      </c>
      <c r="C3334" s="5">
        <v>41489</v>
      </c>
      <c r="D3334" s="5">
        <v>41549</v>
      </c>
      <c r="E3334" s="4" t="s">
        <v>1410</v>
      </c>
      <c r="F3334" s="4" t="s">
        <v>8696</v>
      </c>
    </row>
    <row r="3335" spans="1:6" x14ac:dyDescent="0.25">
      <c r="A3335" s="4" t="str">
        <f>CONCATENATE("3071-0000-5057","")</f>
        <v>3071-0000-5057</v>
      </c>
      <c r="B3335" s="4" t="s">
        <v>9404</v>
      </c>
      <c r="C3335" s="5">
        <v>41489</v>
      </c>
      <c r="D3335" s="5">
        <v>41549</v>
      </c>
      <c r="E3335" s="4" t="s">
        <v>7069</v>
      </c>
      <c r="F3335" s="4" t="s">
        <v>9210</v>
      </c>
    </row>
    <row r="3336" spans="1:6" x14ac:dyDescent="0.25">
      <c r="A3336" s="4" t="str">
        <f>CONCATENATE("3071-0000-7939","")</f>
        <v>3071-0000-7939</v>
      </c>
      <c r="B3336" s="4" t="s">
        <v>5572</v>
      </c>
      <c r="C3336" s="5">
        <v>41489</v>
      </c>
      <c r="D3336" s="5">
        <v>41549</v>
      </c>
      <c r="E3336" s="4" t="s">
        <v>5185</v>
      </c>
      <c r="F3336" s="4" t="s">
        <v>5185</v>
      </c>
    </row>
    <row r="3337" spans="1:6" x14ac:dyDescent="0.25">
      <c r="A3337" s="4" t="str">
        <f>CONCATENATE("3071-0000-4391","")</f>
        <v>3071-0000-4391</v>
      </c>
      <c r="B3337" s="4" t="s">
        <v>9245</v>
      </c>
      <c r="C3337" s="5">
        <v>41489</v>
      </c>
      <c r="D3337" s="5">
        <v>41549</v>
      </c>
      <c r="E3337" s="4" t="s">
        <v>1410</v>
      </c>
      <c r="F3337" s="4" t="s">
        <v>8696</v>
      </c>
    </row>
    <row r="3338" spans="1:6" x14ac:dyDescent="0.25">
      <c r="A3338" s="4" t="str">
        <f>CONCATENATE("3071-0000-7928","")</f>
        <v>3071-0000-7928</v>
      </c>
      <c r="B3338" s="4" t="s">
        <v>5557</v>
      </c>
      <c r="C3338" s="5">
        <v>41489</v>
      </c>
      <c r="D3338" s="5">
        <v>41549</v>
      </c>
      <c r="E3338" s="4" t="s">
        <v>5185</v>
      </c>
      <c r="F3338" s="4" t="s">
        <v>5185</v>
      </c>
    </row>
    <row r="3339" spans="1:6" x14ac:dyDescent="0.25">
      <c r="A3339" s="4" t="str">
        <f>CONCATENATE("3071-0000-7955","")</f>
        <v>3071-0000-7955</v>
      </c>
      <c r="B3339" s="4" t="s">
        <v>5593</v>
      </c>
      <c r="C3339" s="5">
        <v>41489</v>
      </c>
      <c r="D3339" s="5">
        <v>41549</v>
      </c>
      <c r="E3339" s="4" t="s">
        <v>5185</v>
      </c>
      <c r="F3339" s="4" t="s">
        <v>5185</v>
      </c>
    </row>
    <row r="3340" spans="1:6" x14ac:dyDescent="0.25">
      <c r="A3340" s="4" t="str">
        <f>CONCATENATE("3071-0000-4932","")</f>
        <v>3071-0000-4932</v>
      </c>
      <c r="B3340" s="4" t="s">
        <v>9447</v>
      </c>
      <c r="C3340" s="5">
        <v>41489</v>
      </c>
      <c r="D3340" s="5">
        <v>41549</v>
      </c>
      <c r="E3340" s="4" t="s">
        <v>7069</v>
      </c>
      <c r="F3340" s="4" t="s">
        <v>9210</v>
      </c>
    </row>
    <row r="3341" spans="1:6" x14ac:dyDescent="0.25">
      <c r="A3341" s="4" t="str">
        <f>CONCATENATE("3071-0000-5261","")</f>
        <v>3071-0000-5261</v>
      </c>
      <c r="B3341" s="4" t="s">
        <v>6727</v>
      </c>
      <c r="C3341" s="5">
        <v>41489</v>
      </c>
      <c r="D3341" s="5">
        <v>41549</v>
      </c>
      <c r="E3341" s="4" t="s">
        <v>5185</v>
      </c>
      <c r="F3341" s="4" t="s">
        <v>5185</v>
      </c>
    </row>
    <row r="3342" spans="1:6" x14ac:dyDescent="0.25">
      <c r="A3342" s="4" t="str">
        <f>CONCATENATE("3071-0000-4868","")</f>
        <v>3071-0000-4868</v>
      </c>
      <c r="B3342" s="4" t="s">
        <v>9456</v>
      </c>
      <c r="C3342" s="5">
        <v>41489</v>
      </c>
      <c r="D3342" s="5">
        <v>41549</v>
      </c>
      <c r="E3342" s="4" t="s">
        <v>7069</v>
      </c>
      <c r="F3342" s="4" t="s">
        <v>9210</v>
      </c>
    </row>
    <row r="3343" spans="1:6" x14ac:dyDescent="0.25">
      <c r="A3343" s="4" t="str">
        <f>CONCATENATE("3071-0000-9094","")</f>
        <v>3071-0000-9094</v>
      </c>
      <c r="B3343" s="4" t="s">
        <v>5302</v>
      </c>
      <c r="C3343" s="5">
        <v>41489</v>
      </c>
      <c r="D3343" s="5">
        <v>41549</v>
      </c>
      <c r="E3343" s="4" t="s">
        <v>5185</v>
      </c>
      <c r="F3343" s="4" t="s">
        <v>5185</v>
      </c>
    </row>
    <row r="3344" spans="1:6" x14ac:dyDescent="0.25">
      <c r="A3344" s="4" t="str">
        <f>CONCATENATE("3071-0000-7815","")</f>
        <v>3071-0000-7815</v>
      </c>
      <c r="B3344" s="4" t="s">
        <v>5542</v>
      </c>
      <c r="C3344" s="5">
        <v>41489</v>
      </c>
      <c r="D3344" s="5">
        <v>41549</v>
      </c>
      <c r="E3344" s="4" t="s">
        <v>5185</v>
      </c>
      <c r="F3344" s="4" t="s">
        <v>5185</v>
      </c>
    </row>
    <row r="3345" spans="1:6" x14ac:dyDescent="0.25">
      <c r="A3345" s="4" t="str">
        <f>CONCATENATE("3071-0000-8959","")</f>
        <v>3071-0000-8959</v>
      </c>
      <c r="B3345" s="4" t="s">
        <v>6287</v>
      </c>
      <c r="C3345" s="5">
        <v>41489</v>
      </c>
      <c r="D3345" s="5">
        <v>41549</v>
      </c>
      <c r="E3345" s="4" t="s">
        <v>5185</v>
      </c>
      <c r="F3345" s="4" t="s">
        <v>6181</v>
      </c>
    </row>
    <row r="3346" spans="1:6" x14ac:dyDescent="0.25">
      <c r="A3346" s="4" t="str">
        <f>CONCATENATE("3071-0000-7924","")</f>
        <v>3071-0000-7924</v>
      </c>
      <c r="B3346" s="4" t="s">
        <v>5551</v>
      </c>
      <c r="C3346" s="5">
        <v>41489</v>
      </c>
      <c r="D3346" s="5">
        <v>41549</v>
      </c>
      <c r="E3346" s="4" t="s">
        <v>5185</v>
      </c>
      <c r="F3346" s="4" t="s">
        <v>5185</v>
      </c>
    </row>
    <row r="3347" spans="1:6" x14ac:dyDescent="0.25">
      <c r="A3347" s="4" t="str">
        <f>CONCATENATE("3071-0000-5341","")</f>
        <v>3071-0000-5341</v>
      </c>
      <c r="B3347" s="4" t="s">
        <v>6840</v>
      </c>
      <c r="C3347" s="5">
        <v>41489</v>
      </c>
      <c r="D3347" s="5">
        <v>41549</v>
      </c>
      <c r="E3347" s="4" t="s">
        <v>5185</v>
      </c>
      <c r="F3347" s="4" t="s">
        <v>5185</v>
      </c>
    </row>
    <row r="3348" spans="1:6" x14ac:dyDescent="0.25">
      <c r="A3348" s="4" t="str">
        <f>CONCATENATE("3071-0000-4906","")</f>
        <v>3071-0000-4906</v>
      </c>
      <c r="B3348" s="4" t="s">
        <v>9361</v>
      </c>
      <c r="C3348" s="5">
        <v>41489</v>
      </c>
      <c r="D3348" s="5">
        <v>41549</v>
      </c>
      <c r="E3348" s="4" t="s">
        <v>7069</v>
      </c>
      <c r="F3348" s="4" t="s">
        <v>9210</v>
      </c>
    </row>
    <row r="3349" spans="1:6" x14ac:dyDescent="0.25">
      <c r="A3349" s="4" t="str">
        <f>CONCATENATE("3071-0000-1542","")</f>
        <v>3071-0000-1542</v>
      </c>
      <c r="B3349" s="4" t="s">
        <v>2816</v>
      </c>
      <c r="C3349" s="5">
        <v>41489</v>
      </c>
      <c r="D3349" s="5">
        <v>41549</v>
      </c>
      <c r="E3349" s="4" t="s">
        <v>1381</v>
      </c>
      <c r="F3349" s="4" t="s">
        <v>2303</v>
      </c>
    </row>
    <row r="3350" spans="1:6" x14ac:dyDescent="0.25">
      <c r="A3350" s="4" t="str">
        <f>CONCATENATE("3071-0000-1505","")</f>
        <v>3071-0000-1505</v>
      </c>
      <c r="B3350" s="4" t="s">
        <v>2805</v>
      </c>
      <c r="C3350" s="5">
        <v>41489</v>
      </c>
      <c r="D3350" s="5">
        <v>41549</v>
      </c>
      <c r="E3350" s="4" t="s">
        <v>1381</v>
      </c>
      <c r="F3350" s="4" t="s">
        <v>2303</v>
      </c>
    </row>
    <row r="3351" spans="1:6" x14ac:dyDescent="0.25">
      <c r="A3351" s="4" t="str">
        <f>CONCATENATE("3071-0000-2899","")</f>
        <v>3071-0000-2899</v>
      </c>
      <c r="B3351" s="4" t="s">
        <v>1137</v>
      </c>
      <c r="C3351" s="5">
        <v>41489</v>
      </c>
      <c r="D3351" s="5">
        <v>41549</v>
      </c>
      <c r="E3351" s="4" t="s">
        <v>7</v>
      </c>
      <c r="F3351" s="4" t="s">
        <v>808</v>
      </c>
    </row>
    <row r="3352" spans="1:6" x14ac:dyDescent="0.25">
      <c r="A3352" s="4" t="str">
        <f>CONCATENATE("3071-0000-1502","")</f>
        <v>3071-0000-1502</v>
      </c>
      <c r="B3352" s="4" t="s">
        <v>2799</v>
      </c>
      <c r="C3352" s="5">
        <v>41489</v>
      </c>
      <c r="D3352" s="5">
        <v>41549</v>
      </c>
      <c r="E3352" s="4" t="s">
        <v>1381</v>
      </c>
      <c r="F3352" s="4" t="s">
        <v>2303</v>
      </c>
    </row>
    <row r="3353" spans="1:6" x14ac:dyDescent="0.25">
      <c r="A3353" s="4" t="str">
        <f>CONCATENATE("3071-0000-4387","")</f>
        <v>3071-0000-4387</v>
      </c>
      <c r="B3353" s="4" t="s">
        <v>9240</v>
      </c>
      <c r="C3353" s="5">
        <v>41489</v>
      </c>
      <c r="D3353" s="5">
        <v>41549</v>
      </c>
      <c r="E3353" s="4" t="s">
        <v>1410</v>
      </c>
      <c r="F3353" s="4" t="s">
        <v>8696</v>
      </c>
    </row>
    <row r="3354" spans="1:6" x14ac:dyDescent="0.25">
      <c r="A3354" s="4" t="str">
        <f>CONCATENATE("3071-0000-1499","")</f>
        <v>3071-0000-1499</v>
      </c>
      <c r="B3354" s="4" t="s">
        <v>2804</v>
      </c>
      <c r="C3354" s="5">
        <v>41489</v>
      </c>
      <c r="D3354" s="5">
        <v>41549</v>
      </c>
      <c r="E3354" s="4" t="s">
        <v>1381</v>
      </c>
      <c r="F3354" s="4" t="s">
        <v>2303</v>
      </c>
    </row>
    <row r="3355" spans="1:6" x14ac:dyDescent="0.25">
      <c r="A3355" s="4" t="str">
        <f>CONCATENATE("3071-0000-1165","")</f>
        <v>3071-0000-1165</v>
      </c>
      <c r="B3355" s="4" t="s">
        <v>2247</v>
      </c>
      <c r="C3355" s="5">
        <v>41489</v>
      </c>
      <c r="D3355" s="5">
        <v>41549</v>
      </c>
      <c r="E3355" s="4" t="s">
        <v>1381</v>
      </c>
      <c r="F3355" s="4" t="s">
        <v>2236</v>
      </c>
    </row>
    <row r="3356" spans="1:6" x14ac:dyDescent="0.25">
      <c r="A3356" s="4" t="str">
        <f>CONCATENATE("3071-0000-1667","")</f>
        <v>3071-0000-1667</v>
      </c>
      <c r="B3356" s="4" t="s">
        <v>2585</v>
      </c>
      <c r="C3356" s="5">
        <v>41489</v>
      </c>
      <c r="D3356" s="5">
        <v>41549</v>
      </c>
      <c r="E3356" s="4" t="s">
        <v>1381</v>
      </c>
      <c r="F3356" s="4" t="s">
        <v>2303</v>
      </c>
    </row>
    <row r="3357" spans="1:6" x14ac:dyDescent="0.25">
      <c r="A3357" s="4" t="str">
        <f>CONCATENATE("3071-0000-3988","")</f>
        <v>3071-0000-3988</v>
      </c>
      <c r="B3357" s="4" t="s">
        <v>3909</v>
      </c>
      <c r="C3357" s="5">
        <v>41489</v>
      </c>
      <c r="D3357" s="5">
        <v>41549</v>
      </c>
      <c r="E3357" s="4" t="s">
        <v>2944</v>
      </c>
      <c r="F3357" s="4" t="s">
        <v>3513</v>
      </c>
    </row>
    <row r="3358" spans="1:6" x14ac:dyDescent="0.25">
      <c r="A3358" s="4" t="str">
        <f>CONCATENATE("3071-0000-7954","")</f>
        <v>3071-0000-7954</v>
      </c>
      <c r="B3358" s="4" t="s">
        <v>5592</v>
      </c>
      <c r="C3358" s="5">
        <v>41489</v>
      </c>
      <c r="D3358" s="5">
        <v>41549</v>
      </c>
      <c r="E3358" s="4" t="s">
        <v>5185</v>
      </c>
      <c r="F3358" s="4" t="s">
        <v>5185</v>
      </c>
    </row>
    <row r="3359" spans="1:6" x14ac:dyDescent="0.25">
      <c r="A3359" s="4" t="str">
        <f>CONCATENATE("3071-0000-9014","")</f>
        <v>3071-0000-9014</v>
      </c>
      <c r="B3359" s="4" t="s">
        <v>6559</v>
      </c>
      <c r="C3359" s="5">
        <v>41489</v>
      </c>
      <c r="D3359" s="5">
        <v>41549</v>
      </c>
      <c r="E3359" s="4" t="s">
        <v>5185</v>
      </c>
      <c r="F3359" s="4" t="s">
        <v>5292</v>
      </c>
    </row>
    <row r="3360" spans="1:6" x14ac:dyDescent="0.25">
      <c r="A3360" s="4" t="str">
        <f>CONCATENATE("3071-0000-4207","")</f>
        <v>3071-0000-4207</v>
      </c>
      <c r="B3360" s="4" t="s">
        <v>3814</v>
      </c>
      <c r="C3360" s="5">
        <v>41489</v>
      </c>
      <c r="D3360" s="5">
        <v>41549</v>
      </c>
      <c r="E3360" s="4" t="s">
        <v>7</v>
      </c>
      <c r="F3360" s="4" t="s">
        <v>3813</v>
      </c>
    </row>
    <row r="3361" spans="1:6" x14ac:dyDescent="0.25">
      <c r="A3361" s="4" t="str">
        <f>CONCATENATE("3071-0000-0137","")</f>
        <v>3071-0000-0137</v>
      </c>
      <c r="B3361" s="4" t="s">
        <v>311</v>
      </c>
      <c r="C3361" s="5">
        <v>41489</v>
      </c>
      <c r="D3361" s="5">
        <v>41549</v>
      </c>
      <c r="E3361" s="4" t="s">
        <v>7</v>
      </c>
      <c r="F3361" s="4" t="s">
        <v>7</v>
      </c>
    </row>
    <row r="3362" spans="1:6" x14ac:dyDescent="0.25">
      <c r="A3362" s="4" t="str">
        <f>CONCATENATE("3071-0000-1631","")</f>
        <v>3071-0000-1631</v>
      </c>
      <c r="B3362" s="4" t="s">
        <v>2937</v>
      </c>
      <c r="C3362" s="5">
        <v>41489</v>
      </c>
      <c r="D3362" s="5">
        <v>41549</v>
      </c>
      <c r="E3362" s="4" t="s">
        <v>1381</v>
      </c>
      <c r="F3362" s="4" t="s">
        <v>2303</v>
      </c>
    </row>
    <row r="3363" spans="1:6" x14ac:dyDescent="0.25">
      <c r="A3363" s="4" t="str">
        <f>CONCATENATE("3071-0000-7871","")</f>
        <v>3071-0000-7871</v>
      </c>
      <c r="B3363" s="4" t="s">
        <v>5822</v>
      </c>
      <c r="C3363" s="5">
        <v>41489</v>
      </c>
      <c r="D3363" s="5">
        <v>41549</v>
      </c>
      <c r="E3363" s="4" t="s">
        <v>5185</v>
      </c>
      <c r="F3363" s="4" t="s">
        <v>5185</v>
      </c>
    </row>
    <row r="3364" spans="1:6" x14ac:dyDescent="0.25">
      <c r="A3364" s="4" t="str">
        <f>CONCATENATE("3071-0000-8842","")</f>
        <v>3071-0000-8842</v>
      </c>
      <c r="B3364" s="4" t="s">
        <v>5704</v>
      </c>
      <c r="C3364" s="5">
        <v>41489</v>
      </c>
      <c r="D3364" s="5">
        <v>41549</v>
      </c>
      <c r="E3364" s="4" t="s">
        <v>5185</v>
      </c>
      <c r="F3364" s="4" t="s">
        <v>5250</v>
      </c>
    </row>
    <row r="3365" spans="1:6" x14ac:dyDescent="0.25">
      <c r="A3365" s="4" t="str">
        <f>CONCATENATE("3071-0000-8843","")</f>
        <v>3071-0000-8843</v>
      </c>
      <c r="B3365" s="4" t="s">
        <v>5705</v>
      </c>
      <c r="C3365" s="5">
        <v>41489</v>
      </c>
      <c r="D3365" s="5">
        <v>41549</v>
      </c>
      <c r="E3365" s="4" t="s">
        <v>5185</v>
      </c>
      <c r="F3365" s="4" t="s">
        <v>5250</v>
      </c>
    </row>
    <row r="3366" spans="1:6" x14ac:dyDescent="0.25">
      <c r="A3366" s="4" t="str">
        <f>CONCATENATE("3071-0000-3951","")</f>
        <v>3071-0000-3951</v>
      </c>
      <c r="B3366" s="4" t="s">
        <v>3928</v>
      </c>
      <c r="C3366" s="5">
        <v>41489</v>
      </c>
      <c r="D3366" s="5">
        <v>41549</v>
      </c>
      <c r="E3366" s="4" t="s">
        <v>2944</v>
      </c>
      <c r="F3366" s="4" t="s">
        <v>3513</v>
      </c>
    </row>
    <row r="3367" spans="1:6" x14ac:dyDescent="0.25">
      <c r="A3367" s="4" t="str">
        <f>CONCATENATE("3071-0000-9167","")</f>
        <v>3071-0000-9167</v>
      </c>
      <c r="B3367" s="4" t="s">
        <v>6160</v>
      </c>
      <c r="C3367" s="5">
        <v>41489</v>
      </c>
      <c r="D3367" s="5">
        <v>41549</v>
      </c>
      <c r="E3367" s="4" t="s">
        <v>5185</v>
      </c>
      <c r="F3367" s="4" t="s">
        <v>5945</v>
      </c>
    </row>
    <row r="3368" spans="1:6" x14ac:dyDescent="0.25">
      <c r="A3368" s="4" t="str">
        <f>CONCATENATE("3071-0000-0109","")</f>
        <v>3071-0000-0109</v>
      </c>
      <c r="B3368" s="4" t="s">
        <v>224</v>
      </c>
      <c r="C3368" s="5">
        <v>41489</v>
      </c>
      <c r="D3368" s="5">
        <v>41549</v>
      </c>
      <c r="E3368" s="4" t="s">
        <v>7</v>
      </c>
      <c r="F3368" s="4" t="s">
        <v>7</v>
      </c>
    </row>
    <row r="3369" spans="1:6" x14ac:dyDescent="0.25">
      <c r="A3369" s="4" t="str">
        <f>CONCATENATE("3071-0000-8396","")</f>
        <v>3071-0000-8396</v>
      </c>
      <c r="B3369" s="4" t="s">
        <v>5762</v>
      </c>
      <c r="C3369" s="5">
        <v>41489</v>
      </c>
      <c r="D3369" s="5">
        <v>41549</v>
      </c>
      <c r="E3369" s="4" t="s">
        <v>5185</v>
      </c>
      <c r="F3369" s="4" t="s">
        <v>5185</v>
      </c>
    </row>
    <row r="3370" spans="1:6" x14ac:dyDescent="0.25">
      <c r="A3370" s="4" t="str">
        <f>CONCATENATE("3071-0000-1368","")</f>
        <v>3071-0000-1368</v>
      </c>
      <c r="B3370" s="4" t="s">
        <v>2528</v>
      </c>
      <c r="C3370" s="5">
        <v>41489</v>
      </c>
      <c r="D3370" s="5">
        <v>41549</v>
      </c>
      <c r="E3370" s="4" t="s">
        <v>1381</v>
      </c>
      <c r="F3370" s="4" t="s">
        <v>2303</v>
      </c>
    </row>
    <row r="3371" spans="1:6" x14ac:dyDescent="0.25">
      <c r="A3371" s="4" t="str">
        <f>CONCATENATE("3071-0000-0426","")</f>
        <v>3071-0000-0426</v>
      </c>
      <c r="B3371" s="4" t="s">
        <v>514</v>
      </c>
      <c r="C3371" s="5">
        <v>41489</v>
      </c>
      <c r="D3371" s="5">
        <v>41549</v>
      </c>
      <c r="E3371" s="4" t="s">
        <v>7</v>
      </c>
      <c r="F3371" s="4" t="s">
        <v>7</v>
      </c>
    </row>
    <row r="3372" spans="1:6" x14ac:dyDescent="0.25">
      <c r="A3372" s="4" t="str">
        <f>CONCATENATE("3071-0000-7956","")</f>
        <v>3071-0000-7956</v>
      </c>
      <c r="B3372" s="4" t="s">
        <v>5594</v>
      </c>
      <c r="C3372" s="5">
        <v>41489</v>
      </c>
      <c r="D3372" s="5">
        <v>41549</v>
      </c>
      <c r="E3372" s="4" t="s">
        <v>5185</v>
      </c>
      <c r="F3372" s="4" t="s">
        <v>5185</v>
      </c>
    </row>
    <row r="3373" spans="1:6" x14ac:dyDescent="0.25">
      <c r="A3373" s="4" t="str">
        <f>CONCATENATE("3071-0000-0442","")</f>
        <v>3071-0000-0442</v>
      </c>
      <c r="B3373" s="4" t="s">
        <v>401</v>
      </c>
      <c r="C3373" s="5">
        <v>41489</v>
      </c>
      <c r="D3373" s="5">
        <v>41549</v>
      </c>
      <c r="E3373" s="4" t="s">
        <v>7</v>
      </c>
      <c r="F3373" s="4" t="s">
        <v>7</v>
      </c>
    </row>
    <row r="3374" spans="1:6" x14ac:dyDescent="0.25">
      <c r="A3374" s="4" t="str">
        <f>CONCATENATE("3071-0000-8028","")</f>
        <v>3071-0000-8028</v>
      </c>
      <c r="B3374" s="4" t="s">
        <v>5673</v>
      </c>
      <c r="C3374" s="5">
        <v>41489</v>
      </c>
      <c r="D3374" s="5">
        <v>41549</v>
      </c>
      <c r="E3374" s="4" t="s">
        <v>5185</v>
      </c>
      <c r="F3374" s="4" t="s">
        <v>5185</v>
      </c>
    </row>
    <row r="3375" spans="1:6" x14ac:dyDescent="0.25">
      <c r="A3375" s="4" t="str">
        <f>CONCATENATE("3071-0000-8054","")</f>
        <v>3071-0000-8054</v>
      </c>
      <c r="B3375" s="4" t="s">
        <v>5706</v>
      </c>
      <c r="C3375" s="5">
        <v>41489</v>
      </c>
      <c r="D3375" s="5">
        <v>41549</v>
      </c>
      <c r="E3375" s="4" t="s">
        <v>5185</v>
      </c>
      <c r="F3375" s="4" t="s">
        <v>5185</v>
      </c>
    </row>
    <row r="3376" spans="1:6" x14ac:dyDescent="0.25">
      <c r="A3376" s="4" t="str">
        <f>CONCATENATE("3071-0000-8022","")</f>
        <v>3071-0000-8022</v>
      </c>
      <c r="B3376" s="4" t="s">
        <v>5697</v>
      </c>
      <c r="C3376" s="5">
        <v>41489</v>
      </c>
      <c r="D3376" s="5">
        <v>41549</v>
      </c>
      <c r="E3376" s="4" t="s">
        <v>5185</v>
      </c>
      <c r="F3376" s="4" t="s">
        <v>5185</v>
      </c>
    </row>
    <row r="3377" spans="1:6" x14ac:dyDescent="0.25">
      <c r="A3377" s="4" t="str">
        <f>CONCATENATE("3071-0000-8024","")</f>
        <v>3071-0000-8024</v>
      </c>
      <c r="B3377" s="4" t="s">
        <v>5695</v>
      </c>
      <c r="C3377" s="5">
        <v>41489</v>
      </c>
      <c r="D3377" s="5">
        <v>41549</v>
      </c>
      <c r="E3377" s="4" t="s">
        <v>5185</v>
      </c>
      <c r="F3377" s="4" t="s">
        <v>5185</v>
      </c>
    </row>
    <row r="3378" spans="1:6" x14ac:dyDescent="0.25">
      <c r="A3378" s="4" t="str">
        <f>CONCATENATE("3071-0000-2516","")</f>
        <v>3071-0000-2516</v>
      </c>
      <c r="B3378" s="4" t="s">
        <v>3623</v>
      </c>
      <c r="C3378" s="5">
        <v>41489</v>
      </c>
      <c r="D3378" s="5">
        <v>41549</v>
      </c>
      <c r="E3378" s="4" t="s">
        <v>2944</v>
      </c>
      <c r="F3378" s="4" t="s">
        <v>3567</v>
      </c>
    </row>
    <row r="3379" spans="1:6" x14ac:dyDescent="0.25">
      <c r="A3379" s="4" t="str">
        <f>CONCATENATE("3071-0000-2576","")</f>
        <v>3071-0000-2576</v>
      </c>
      <c r="B3379" s="4" t="s">
        <v>3260</v>
      </c>
      <c r="C3379" s="5">
        <v>41489</v>
      </c>
      <c r="D3379" s="5">
        <v>41549</v>
      </c>
      <c r="E3379" s="4" t="s">
        <v>2944</v>
      </c>
      <c r="F3379" s="4" t="s">
        <v>3164</v>
      </c>
    </row>
    <row r="3380" spans="1:6" x14ac:dyDescent="0.25">
      <c r="A3380" s="4" t="str">
        <f>CONCATENATE("3071-0000-4708","")</f>
        <v>3071-0000-4708</v>
      </c>
      <c r="B3380" s="4" t="s">
        <v>9673</v>
      </c>
      <c r="C3380" s="5">
        <v>41489</v>
      </c>
      <c r="D3380" s="5">
        <v>41549</v>
      </c>
      <c r="E3380" s="4" t="s">
        <v>1410</v>
      </c>
      <c r="F3380" s="4" t="s">
        <v>8696</v>
      </c>
    </row>
    <row r="3381" spans="1:6" x14ac:dyDescent="0.25">
      <c r="A3381" s="4" t="str">
        <f>CONCATENATE("3071-0000-6565","")</f>
        <v>3071-0000-6565</v>
      </c>
      <c r="B3381" s="4" t="s">
        <v>7814</v>
      </c>
      <c r="C3381" s="5">
        <v>41489</v>
      </c>
      <c r="D3381" s="5">
        <v>41549</v>
      </c>
      <c r="E3381" s="4" t="s">
        <v>5185</v>
      </c>
      <c r="F3381" s="4" t="s">
        <v>5185</v>
      </c>
    </row>
    <row r="3382" spans="1:6" x14ac:dyDescent="0.25">
      <c r="A3382" s="4" t="str">
        <f>CONCATENATE("3071-0000-6561","")</f>
        <v>3071-0000-6561</v>
      </c>
      <c r="B3382" s="4" t="s">
        <v>7810</v>
      </c>
      <c r="C3382" s="5">
        <v>41489</v>
      </c>
      <c r="D3382" s="5">
        <v>41549</v>
      </c>
      <c r="E3382" s="4" t="s">
        <v>5185</v>
      </c>
      <c r="F3382" s="4" t="s">
        <v>5185</v>
      </c>
    </row>
    <row r="3383" spans="1:6" x14ac:dyDescent="0.25">
      <c r="A3383" s="4" t="str">
        <f>CONCATENATE("3071-0000-7072","")</f>
        <v>3071-0000-7072</v>
      </c>
      <c r="B3383" s="4" t="s">
        <v>4709</v>
      </c>
      <c r="C3383" s="5">
        <v>41489</v>
      </c>
      <c r="D3383" s="5">
        <v>41549</v>
      </c>
      <c r="E3383" s="4" t="s">
        <v>1410</v>
      </c>
      <c r="F3383" s="4" t="s">
        <v>1410</v>
      </c>
    </row>
    <row r="3384" spans="1:6" x14ac:dyDescent="0.25">
      <c r="A3384" s="4" t="str">
        <f>CONCATENATE("3071-0000-6355","")</f>
        <v>3071-0000-6355</v>
      </c>
      <c r="B3384" s="4" t="s">
        <v>7875</v>
      </c>
      <c r="C3384" s="5">
        <v>41489</v>
      </c>
      <c r="D3384" s="5">
        <v>41549</v>
      </c>
      <c r="E3384" s="4" t="s">
        <v>5185</v>
      </c>
      <c r="F3384" s="4" t="s">
        <v>5185</v>
      </c>
    </row>
    <row r="3385" spans="1:6" x14ac:dyDescent="0.25">
      <c r="A3385" s="4" t="str">
        <f>CONCATENATE("3071-0000-6569","")</f>
        <v>3071-0000-6569</v>
      </c>
      <c r="B3385" s="4" t="s">
        <v>7818</v>
      </c>
      <c r="C3385" s="5">
        <v>41489</v>
      </c>
      <c r="D3385" s="5">
        <v>41549</v>
      </c>
      <c r="E3385" s="4" t="s">
        <v>5185</v>
      </c>
      <c r="F3385" s="4" t="s">
        <v>5185</v>
      </c>
    </row>
    <row r="3386" spans="1:6" x14ac:dyDescent="0.25">
      <c r="A3386" s="4" t="str">
        <f>CONCATENATE("3071-0000-6567","")</f>
        <v>3071-0000-6567</v>
      </c>
      <c r="B3386" s="4" t="s">
        <v>7816</v>
      </c>
      <c r="C3386" s="5">
        <v>41489</v>
      </c>
      <c r="D3386" s="5">
        <v>41549</v>
      </c>
      <c r="E3386" s="4" t="s">
        <v>5185</v>
      </c>
      <c r="F3386" s="4" t="s">
        <v>5185</v>
      </c>
    </row>
    <row r="3387" spans="1:6" x14ac:dyDescent="0.25">
      <c r="A3387" s="4" t="str">
        <f>CONCATENATE("3071-0000-7349","")</f>
        <v>3071-0000-7349</v>
      </c>
      <c r="B3387" s="4" t="s">
        <v>4319</v>
      </c>
      <c r="C3387" s="5">
        <v>41489</v>
      </c>
      <c r="D3387" s="5">
        <v>41549</v>
      </c>
      <c r="E3387" s="4" t="s">
        <v>1410</v>
      </c>
      <c r="F3387" s="4" t="s">
        <v>1410</v>
      </c>
    </row>
    <row r="3388" spans="1:6" x14ac:dyDescent="0.25">
      <c r="A3388" s="4" t="str">
        <f>CONCATENATE("3071-0000-6707","")</f>
        <v>3071-0000-6707</v>
      </c>
      <c r="B3388" s="4" t="s">
        <v>8172</v>
      </c>
      <c r="C3388" s="5">
        <v>41489</v>
      </c>
      <c r="D3388" s="5">
        <v>41549</v>
      </c>
      <c r="E3388" s="4" t="s">
        <v>5185</v>
      </c>
      <c r="F3388" s="4" t="s">
        <v>5185</v>
      </c>
    </row>
    <row r="3389" spans="1:6" x14ac:dyDescent="0.25">
      <c r="A3389" s="4" t="str">
        <f>CONCATENATE("3071-0000-0305","")</f>
        <v>3071-0000-0305</v>
      </c>
      <c r="B3389" s="4" t="s">
        <v>724</v>
      </c>
      <c r="C3389" s="5">
        <v>41489</v>
      </c>
      <c r="D3389" s="5">
        <v>41549</v>
      </c>
      <c r="E3389" s="4" t="s">
        <v>7</v>
      </c>
      <c r="F3389" s="4" t="s">
        <v>7</v>
      </c>
    </row>
    <row r="3390" spans="1:6" x14ac:dyDescent="0.25">
      <c r="A3390" s="4" t="str">
        <f>CONCATENATE("3071-0000-7650","")</f>
        <v>3071-0000-7650</v>
      </c>
      <c r="B3390" s="4" t="s">
        <v>5152</v>
      </c>
      <c r="C3390" s="5">
        <v>41489</v>
      </c>
      <c r="D3390" s="5">
        <v>41549</v>
      </c>
      <c r="E3390" s="4" t="s">
        <v>1410</v>
      </c>
      <c r="F3390" s="4" t="s">
        <v>4616</v>
      </c>
    </row>
    <row r="3391" spans="1:6" x14ac:dyDescent="0.25">
      <c r="A3391" s="4" t="str">
        <f>CONCATENATE("3071-0000-7524","")</f>
        <v>3071-0000-7524</v>
      </c>
      <c r="B3391" s="4" t="s">
        <v>4359</v>
      </c>
      <c r="C3391" s="5">
        <v>41489</v>
      </c>
      <c r="D3391" s="5">
        <v>41549</v>
      </c>
      <c r="E3391" s="4" t="s">
        <v>1410</v>
      </c>
      <c r="F3391" s="4" t="s">
        <v>1410</v>
      </c>
    </row>
    <row r="3392" spans="1:6" x14ac:dyDescent="0.25">
      <c r="A3392" s="4" t="str">
        <f>CONCATENATE("3071-0000-9298","")</f>
        <v>3071-0000-9298</v>
      </c>
      <c r="B3392" s="4" t="s">
        <v>8308</v>
      </c>
      <c r="C3392" s="5">
        <v>41489</v>
      </c>
      <c r="D3392" s="5">
        <v>41549</v>
      </c>
      <c r="E3392" s="4" t="s">
        <v>5185</v>
      </c>
      <c r="F3392" s="4" t="s">
        <v>5185</v>
      </c>
    </row>
    <row r="3393" spans="1:6" x14ac:dyDescent="0.25">
      <c r="A3393" s="4" t="str">
        <f>CONCATENATE("3071-0000-9231","")</f>
        <v>3071-0000-9231</v>
      </c>
      <c r="B3393" s="4" t="s">
        <v>8310</v>
      </c>
      <c r="C3393" s="5">
        <v>41489</v>
      </c>
      <c r="D3393" s="5">
        <v>41549</v>
      </c>
      <c r="E3393" s="4" t="s">
        <v>5185</v>
      </c>
      <c r="F3393" s="4" t="s">
        <v>5185</v>
      </c>
    </row>
    <row r="3394" spans="1:6" x14ac:dyDescent="0.25">
      <c r="A3394" s="4" t="str">
        <f>CONCATENATE("3071-0000-7056","")</f>
        <v>3071-0000-7056</v>
      </c>
      <c r="B3394" s="4" t="s">
        <v>4839</v>
      </c>
      <c r="C3394" s="5">
        <v>41489</v>
      </c>
      <c r="D3394" s="5">
        <v>41549</v>
      </c>
      <c r="E3394" s="4" t="s">
        <v>1410</v>
      </c>
      <c r="F3394" s="4" t="s">
        <v>1410</v>
      </c>
    </row>
    <row r="3395" spans="1:6" x14ac:dyDescent="0.25">
      <c r="A3395" s="4" t="str">
        <f>CONCATENATE("3071-0000-6426","")</f>
        <v>3071-0000-6426</v>
      </c>
      <c r="B3395" s="4" t="s">
        <v>8131</v>
      </c>
      <c r="C3395" s="5">
        <v>41489</v>
      </c>
      <c r="D3395" s="5">
        <v>41549</v>
      </c>
      <c r="E3395" s="4" t="s">
        <v>5185</v>
      </c>
      <c r="F3395" s="4" t="s">
        <v>5185</v>
      </c>
    </row>
    <row r="3396" spans="1:6" x14ac:dyDescent="0.25">
      <c r="A3396" s="4" t="str">
        <f>CONCATENATE("3071-0000-9377","")</f>
        <v>3071-0000-9377</v>
      </c>
      <c r="B3396" s="4" t="s">
        <v>8466</v>
      </c>
      <c r="C3396" s="5">
        <v>41489</v>
      </c>
      <c r="D3396" s="5">
        <v>41549</v>
      </c>
      <c r="E3396" s="4" t="s">
        <v>1410</v>
      </c>
      <c r="F3396" s="4" t="s">
        <v>4459</v>
      </c>
    </row>
    <row r="3397" spans="1:6" x14ac:dyDescent="0.25">
      <c r="A3397" s="4" t="str">
        <f>CONCATENATE("3071-0000-6876","")</f>
        <v>3071-0000-6876</v>
      </c>
      <c r="B3397" s="4" t="s">
        <v>4267</v>
      </c>
      <c r="C3397" s="5">
        <v>41489</v>
      </c>
      <c r="D3397" s="5">
        <v>41549</v>
      </c>
      <c r="E3397" s="4" t="s">
        <v>1410</v>
      </c>
      <c r="F3397" s="4" t="s">
        <v>1410</v>
      </c>
    </row>
    <row r="3398" spans="1:6" x14ac:dyDescent="0.25">
      <c r="A3398" s="4" t="str">
        <f>CONCATENATE("3071-0000-0691","")</f>
        <v>3071-0000-0691</v>
      </c>
      <c r="B3398" s="4" t="s">
        <v>565</v>
      </c>
      <c r="C3398" s="5">
        <v>41489</v>
      </c>
      <c r="D3398" s="5">
        <v>41549</v>
      </c>
      <c r="E3398" s="4" t="s">
        <v>7</v>
      </c>
      <c r="F3398" s="4" t="s">
        <v>273</v>
      </c>
    </row>
    <row r="3399" spans="1:6" x14ac:dyDescent="0.25">
      <c r="A3399" s="4" t="str">
        <f>CONCATENATE("3071-0000-0203","")</f>
        <v>3071-0000-0203</v>
      </c>
      <c r="B3399" s="4" t="s">
        <v>438</v>
      </c>
      <c r="C3399" s="5">
        <v>41489</v>
      </c>
      <c r="D3399" s="5">
        <v>41549</v>
      </c>
      <c r="E3399" s="4" t="s">
        <v>7</v>
      </c>
      <c r="F3399" s="4" t="s">
        <v>7</v>
      </c>
    </row>
    <row r="3400" spans="1:6" x14ac:dyDescent="0.25">
      <c r="A3400" s="4" t="str">
        <f>CONCATENATE("3071-0000-5110","")</f>
        <v>3071-0000-5110</v>
      </c>
      <c r="B3400" s="4" t="s">
        <v>9434</v>
      </c>
      <c r="C3400" s="5">
        <v>41489</v>
      </c>
      <c r="D3400" s="5">
        <v>41549</v>
      </c>
      <c r="E3400" s="4" t="s">
        <v>7069</v>
      </c>
      <c r="F3400" s="4" t="s">
        <v>9210</v>
      </c>
    </row>
    <row r="3401" spans="1:6" x14ac:dyDescent="0.25">
      <c r="A3401" s="4" t="str">
        <f>CONCATENATE("3071-0000-4398","")</f>
        <v>3071-0000-4398</v>
      </c>
      <c r="B3401" s="4" t="s">
        <v>9253</v>
      </c>
      <c r="C3401" s="5">
        <v>41489</v>
      </c>
      <c r="D3401" s="5">
        <v>41549</v>
      </c>
      <c r="E3401" s="4" t="s">
        <v>1410</v>
      </c>
      <c r="F3401" s="4" t="s">
        <v>8696</v>
      </c>
    </row>
    <row r="3402" spans="1:6" x14ac:dyDescent="0.25">
      <c r="A3402" s="4" t="str">
        <f>CONCATENATE("3071-0000-5362","")</f>
        <v>3071-0000-5362</v>
      </c>
      <c r="B3402" s="4" t="s">
        <v>6864</v>
      </c>
      <c r="C3402" s="5">
        <v>41489</v>
      </c>
      <c r="D3402" s="5">
        <v>41549</v>
      </c>
      <c r="E3402" s="4" t="s">
        <v>5185</v>
      </c>
      <c r="F3402" s="4" t="s">
        <v>5185</v>
      </c>
    </row>
    <row r="3403" spans="1:6" x14ac:dyDescent="0.25">
      <c r="A3403" s="4" t="str">
        <f>CONCATENATE("3071-0000-6289","")</f>
        <v>3071-0000-6289</v>
      </c>
      <c r="B3403" s="4" t="s">
        <v>7090</v>
      </c>
      <c r="C3403" s="5">
        <v>41489</v>
      </c>
      <c r="D3403" s="5">
        <v>41549</v>
      </c>
      <c r="E3403" s="4" t="s">
        <v>7069</v>
      </c>
      <c r="F3403" s="4" t="s">
        <v>7070</v>
      </c>
    </row>
    <row r="3404" spans="1:6" x14ac:dyDescent="0.25">
      <c r="A3404" s="4" t="str">
        <f>CONCATENATE("3071-0000-5349","")</f>
        <v>3071-0000-5349</v>
      </c>
      <c r="B3404" s="4" t="s">
        <v>6852</v>
      </c>
      <c r="C3404" s="5">
        <v>41489</v>
      </c>
      <c r="D3404" s="5">
        <v>41549</v>
      </c>
      <c r="E3404" s="4" t="s">
        <v>5185</v>
      </c>
      <c r="F3404" s="4" t="s">
        <v>5185</v>
      </c>
    </row>
    <row r="3405" spans="1:6" x14ac:dyDescent="0.25">
      <c r="A3405" s="4" t="str">
        <f>CONCATENATE("3071-0000-5067","")</f>
        <v>3071-0000-5067</v>
      </c>
      <c r="B3405" s="4" t="s">
        <v>9362</v>
      </c>
      <c r="C3405" s="5">
        <v>41489</v>
      </c>
      <c r="D3405" s="5">
        <v>41549</v>
      </c>
      <c r="E3405" s="4" t="s">
        <v>7069</v>
      </c>
      <c r="F3405" s="4" t="s">
        <v>9210</v>
      </c>
    </row>
    <row r="3406" spans="1:6" x14ac:dyDescent="0.25">
      <c r="A3406" s="4" t="str">
        <f>CONCATENATE("3071-0000-4454","")</f>
        <v>3071-0000-4454</v>
      </c>
      <c r="B3406" s="4" t="s">
        <v>9335</v>
      </c>
      <c r="C3406" s="5">
        <v>41489</v>
      </c>
      <c r="D3406" s="5">
        <v>41549</v>
      </c>
      <c r="E3406" s="4" t="s">
        <v>1410</v>
      </c>
      <c r="F3406" s="4" t="s">
        <v>8696</v>
      </c>
    </row>
    <row r="3407" spans="1:6" x14ac:dyDescent="0.25">
      <c r="A3407" s="4" t="str">
        <f>CONCATENATE("3071-0000-4834","")</f>
        <v>3071-0000-4834</v>
      </c>
      <c r="B3407" s="4" t="s">
        <v>9406</v>
      </c>
      <c r="C3407" s="5">
        <v>41489</v>
      </c>
      <c r="D3407" s="5">
        <v>41549</v>
      </c>
      <c r="E3407" s="4" t="s">
        <v>1410</v>
      </c>
      <c r="F3407" s="4" t="s">
        <v>8696</v>
      </c>
    </row>
    <row r="3408" spans="1:6" x14ac:dyDescent="0.25">
      <c r="A3408" s="4" t="str">
        <f>CONCATENATE("3071-0000-5956","")</f>
        <v>3071-0000-5956</v>
      </c>
      <c r="B3408" s="4" t="s">
        <v>7464</v>
      </c>
      <c r="C3408" s="5">
        <v>41489</v>
      </c>
      <c r="D3408" s="5">
        <v>41549</v>
      </c>
      <c r="E3408" s="4" t="s">
        <v>5185</v>
      </c>
      <c r="F3408" s="4" t="s">
        <v>5185</v>
      </c>
    </row>
    <row r="3409" spans="1:6" x14ac:dyDescent="0.25">
      <c r="A3409" s="4" t="str">
        <f>CONCATENATE("3071-0000-5185","")</f>
        <v>3071-0000-5185</v>
      </c>
      <c r="B3409" s="4" t="s">
        <v>9457</v>
      </c>
      <c r="C3409" s="5">
        <v>41489</v>
      </c>
      <c r="D3409" s="5">
        <v>41549</v>
      </c>
      <c r="E3409" s="4" t="s">
        <v>7069</v>
      </c>
      <c r="F3409" s="4" t="s">
        <v>9210</v>
      </c>
    </row>
    <row r="3410" spans="1:6" x14ac:dyDescent="0.25">
      <c r="A3410" s="4" t="str">
        <f>CONCATENATE("3071-0000-4360","")</f>
        <v>3071-0000-4360</v>
      </c>
      <c r="B3410" s="4" t="s">
        <v>9440</v>
      </c>
      <c r="C3410" s="5">
        <v>41489</v>
      </c>
      <c r="D3410" s="5">
        <v>41549</v>
      </c>
      <c r="E3410" s="4" t="s">
        <v>1410</v>
      </c>
      <c r="F3410" s="4" t="s">
        <v>8696</v>
      </c>
    </row>
    <row r="3411" spans="1:6" x14ac:dyDescent="0.25">
      <c r="A3411" s="4" t="str">
        <f>CONCATENATE("3071-0000-6261","")</f>
        <v>3071-0000-6261</v>
      </c>
      <c r="B3411" s="4" t="s">
        <v>7157</v>
      </c>
      <c r="C3411" s="5">
        <v>41489</v>
      </c>
      <c r="D3411" s="5">
        <v>41549</v>
      </c>
      <c r="E3411" s="4" t="s">
        <v>7069</v>
      </c>
      <c r="F3411" s="4" t="s">
        <v>7120</v>
      </c>
    </row>
    <row r="3412" spans="1:6" x14ac:dyDescent="0.25">
      <c r="A3412" s="4" t="str">
        <f>CONCATENATE("3071-0000-4362","")</f>
        <v>3071-0000-4362</v>
      </c>
      <c r="B3412" s="4" t="s">
        <v>9409</v>
      </c>
      <c r="C3412" s="5">
        <v>41489</v>
      </c>
      <c r="D3412" s="5">
        <v>41549</v>
      </c>
      <c r="E3412" s="4" t="s">
        <v>1410</v>
      </c>
      <c r="F3412" s="4" t="s">
        <v>8696</v>
      </c>
    </row>
    <row r="3413" spans="1:6" x14ac:dyDescent="0.25">
      <c r="A3413" s="4" t="str">
        <f>CONCATENATE("3071-0000-4756","")</f>
        <v>3071-0000-4756</v>
      </c>
      <c r="B3413" s="4" t="s">
        <v>9401</v>
      </c>
      <c r="C3413" s="5">
        <v>41489</v>
      </c>
      <c r="D3413" s="5">
        <v>41549</v>
      </c>
      <c r="E3413" s="4" t="s">
        <v>1410</v>
      </c>
      <c r="F3413" s="4" t="s">
        <v>8696</v>
      </c>
    </row>
    <row r="3414" spans="1:6" x14ac:dyDescent="0.25">
      <c r="A3414" s="4" t="str">
        <f>CONCATENATE("3071-0000-4941","")</f>
        <v>3071-0000-4941</v>
      </c>
      <c r="B3414" s="4" t="s">
        <v>9324</v>
      </c>
      <c r="C3414" s="5">
        <v>41489</v>
      </c>
      <c r="D3414" s="5">
        <v>41549</v>
      </c>
      <c r="E3414" s="4" t="s">
        <v>7069</v>
      </c>
      <c r="F3414" s="4" t="s">
        <v>9210</v>
      </c>
    </row>
    <row r="3415" spans="1:6" x14ac:dyDescent="0.25">
      <c r="A3415" s="4" t="str">
        <f>CONCATENATE("3071-0000-5429","")</f>
        <v>3071-0000-5429</v>
      </c>
      <c r="B3415" s="4" t="s">
        <v>6872</v>
      </c>
      <c r="C3415" s="5">
        <v>41489</v>
      </c>
      <c r="D3415" s="5">
        <v>41549</v>
      </c>
      <c r="E3415" s="4" t="s">
        <v>5185</v>
      </c>
      <c r="F3415" s="4" t="s">
        <v>5185</v>
      </c>
    </row>
    <row r="3416" spans="1:6" x14ac:dyDescent="0.25">
      <c r="A3416" s="4" t="str">
        <f>CONCATENATE("3071-0000-1887","")</f>
        <v>3071-0000-1887</v>
      </c>
      <c r="B3416" s="4" t="s">
        <v>2950</v>
      </c>
      <c r="C3416" s="5">
        <v>41489</v>
      </c>
      <c r="D3416" s="5">
        <v>41549</v>
      </c>
      <c r="E3416" s="4" t="s">
        <v>2944</v>
      </c>
      <c r="F3416" s="4" t="s">
        <v>2945</v>
      </c>
    </row>
    <row r="3417" spans="1:6" x14ac:dyDescent="0.25">
      <c r="A3417" s="4" t="str">
        <f>CONCATENATE("3071-0000-1892","")</f>
        <v>3071-0000-1892</v>
      </c>
      <c r="B3417" s="4" t="s">
        <v>2947</v>
      </c>
      <c r="C3417" s="5">
        <v>41489</v>
      </c>
      <c r="D3417" s="5">
        <v>41549</v>
      </c>
      <c r="E3417" s="4" t="s">
        <v>2944</v>
      </c>
      <c r="F3417" s="4" t="s">
        <v>2945</v>
      </c>
    </row>
    <row r="3418" spans="1:6" x14ac:dyDescent="0.25">
      <c r="A3418" s="4" t="str">
        <f>CONCATENATE("3071-0000-1815","")</f>
        <v>3071-0000-1815</v>
      </c>
      <c r="B3418" s="4" t="s">
        <v>2373</v>
      </c>
      <c r="C3418" s="5">
        <v>41489</v>
      </c>
      <c r="D3418" s="5">
        <v>41549</v>
      </c>
      <c r="E3418" s="4" t="s">
        <v>1381</v>
      </c>
      <c r="F3418" s="4" t="s">
        <v>2319</v>
      </c>
    </row>
    <row r="3419" spans="1:6" x14ac:dyDescent="0.25">
      <c r="A3419" s="4" t="str">
        <f>CONCATENATE("3071-0000-4701","")</f>
        <v>3071-0000-4701</v>
      </c>
      <c r="B3419" s="4" t="s">
        <v>9639</v>
      </c>
      <c r="C3419" s="5">
        <v>41489</v>
      </c>
      <c r="D3419" s="5">
        <v>41549</v>
      </c>
      <c r="E3419" s="4" t="s">
        <v>1410</v>
      </c>
      <c r="F3419" s="4" t="s">
        <v>8696</v>
      </c>
    </row>
    <row r="3420" spans="1:6" x14ac:dyDescent="0.25">
      <c r="A3420" s="4" t="str">
        <f>CONCATENATE("3071-0000-7085","")</f>
        <v>3071-0000-7085</v>
      </c>
      <c r="B3420" s="4" t="s">
        <v>4767</v>
      </c>
      <c r="C3420" s="5">
        <v>41489</v>
      </c>
      <c r="D3420" s="5">
        <v>41549</v>
      </c>
      <c r="E3420" s="4" t="s">
        <v>1410</v>
      </c>
      <c r="F3420" s="4" t="s">
        <v>1410</v>
      </c>
    </row>
    <row r="3421" spans="1:6" x14ac:dyDescent="0.25">
      <c r="A3421" s="4" t="str">
        <f>CONCATENATE("3071-0000-4420","")</f>
        <v>3071-0000-4420</v>
      </c>
      <c r="B3421" s="4" t="s">
        <v>9283</v>
      </c>
      <c r="C3421" s="5">
        <v>41489</v>
      </c>
      <c r="D3421" s="5">
        <v>41549</v>
      </c>
      <c r="E3421" s="4" t="s">
        <v>1410</v>
      </c>
      <c r="F3421" s="4" t="s">
        <v>8696</v>
      </c>
    </row>
    <row r="3422" spans="1:6" x14ac:dyDescent="0.25">
      <c r="A3422" s="4" t="str">
        <f>CONCATENATE("3071-0000-1123","")</f>
        <v>3071-0000-1123</v>
      </c>
      <c r="B3422" s="4" t="s">
        <v>1945</v>
      </c>
      <c r="C3422" s="5">
        <v>41489</v>
      </c>
      <c r="D3422" s="5">
        <v>41549</v>
      </c>
      <c r="E3422" s="4" t="s">
        <v>1857</v>
      </c>
      <c r="F3422" s="4" t="s">
        <v>1857</v>
      </c>
    </row>
    <row r="3423" spans="1:6" x14ac:dyDescent="0.25">
      <c r="A3423" s="4" t="str">
        <f>CONCATENATE("3071-0000-5072","")</f>
        <v>3071-0000-5072</v>
      </c>
      <c r="B3423" s="4" t="s">
        <v>9296</v>
      </c>
      <c r="C3423" s="5">
        <v>41489</v>
      </c>
      <c r="D3423" s="5">
        <v>41549</v>
      </c>
      <c r="E3423" s="4" t="s">
        <v>7069</v>
      </c>
      <c r="F3423" s="4" t="s">
        <v>9210</v>
      </c>
    </row>
    <row r="3424" spans="1:6" x14ac:dyDescent="0.25">
      <c r="A3424" s="4" t="str">
        <f>CONCATENATE("3071-0000-6603","")</f>
        <v>3071-0000-6603</v>
      </c>
      <c r="B3424" s="4" t="s">
        <v>7986</v>
      </c>
      <c r="C3424" s="5">
        <v>41489</v>
      </c>
      <c r="D3424" s="5">
        <v>41549</v>
      </c>
      <c r="E3424" s="4" t="s">
        <v>5185</v>
      </c>
      <c r="F3424" s="4" t="s">
        <v>5185</v>
      </c>
    </row>
    <row r="3425" spans="1:6" x14ac:dyDescent="0.25">
      <c r="A3425" s="4" t="str">
        <f>CONCATENATE("3071-0000-6598","")</f>
        <v>3071-0000-6598</v>
      </c>
      <c r="B3425" s="4" t="s">
        <v>7980</v>
      </c>
      <c r="C3425" s="5">
        <v>41489</v>
      </c>
      <c r="D3425" s="5">
        <v>41549</v>
      </c>
      <c r="E3425" s="4" t="s">
        <v>5185</v>
      </c>
      <c r="F3425" s="4" t="s">
        <v>5185</v>
      </c>
    </row>
    <row r="3426" spans="1:6" x14ac:dyDescent="0.25">
      <c r="A3426" s="4" t="str">
        <f>CONCATENATE("3071-0000-6536","")</f>
        <v>3071-0000-6536</v>
      </c>
      <c r="B3426" s="4" t="s">
        <v>7963</v>
      </c>
      <c r="C3426" s="5">
        <v>41489</v>
      </c>
      <c r="D3426" s="5">
        <v>41549</v>
      </c>
      <c r="E3426" s="4" t="s">
        <v>5185</v>
      </c>
      <c r="F3426" s="4" t="s">
        <v>5185</v>
      </c>
    </row>
    <row r="3427" spans="1:6" x14ac:dyDescent="0.25">
      <c r="A3427" s="4" t="str">
        <f>CONCATENATE("3071-0000-4685","")</f>
        <v>3071-0000-4685</v>
      </c>
      <c r="B3427" s="4" t="s">
        <v>9199</v>
      </c>
      <c r="C3427" s="5">
        <v>41489</v>
      </c>
      <c r="D3427" s="5">
        <v>41549</v>
      </c>
      <c r="E3427" s="4" t="s">
        <v>1410</v>
      </c>
      <c r="F3427" s="4" t="s">
        <v>8696</v>
      </c>
    </row>
    <row r="3428" spans="1:6" x14ac:dyDescent="0.25">
      <c r="A3428" s="4" t="str">
        <f>CONCATENATE("3071-0000-4411","")</f>
        <v>3071-0000-4411</v>
      </c>
      <c r="B3428" s="4" t="s">
        <v>9272</v>
      </c>
      <c r="C3428" s="5">
        <v>41489</v>
      </c>
      <c r="D3428" s="5">
        <v>41549</v>
      </c>
      <c r="E3428" s="4" t="s">
        <v>1410</v>
      </c>
      <c r="F3428" s="4" t="s">
        <v>8696</v>
      </c>
    </row>
    <row r="3429" spans="1:6" x14ac:dyDescent="0.25">
      <c r="A3429" s="4" t="str">
        <f>CONCATENATE("3071-0000-3233","")</f>
        <v>3071-0000-3233</v>
      </c>
      <c r="B3429" s="4" t="s">
        <v>1029</v>
      </c>
      <c r="C3429" s="5">
        <v>41489</v>
      </c>
      <c r="D3429" s="5">
        <v>41549</v>
      </c>
      <c r="E3429" s="4" t="s">
        <v>7</v>
      </c>
      <c r="F3429" s="4" t="s">
        <v>808</v>
      </c>
    </row>
    <row r="3430" spans="1:6" x14ac:dyDescent="0.25">
      <c r="A3430" s="4" t="str">
        <f>CONCATENATE("3071-0000-3319","")</f>
        <v>3071-0000-3319</v>
      </c>
      <c r="B3430" s="4" t="s">
        <v>1143</v>
      </c>
      <c r="C3430" s="5">
        <v>41489</v>
      </c>
      <c r="D3430" s="5">
        <v>41549</v>
      </c>
      <c r="E3430" s="4" t="s">
        <v>7</v>
      </c>
      <c r="F3430" s="4" t="s">
        <v>808</v>
      </c>
    </row>
    <row r="3431" spans="1:6" x14ac:dyDescent="0.25">
      <c r="A3431" s="4" t="str">
        <f>CONCATENATE("3071-0000-8075","")</f>
        <v>3071-0000-8075</v>
      </c>
      <c r="B3431" s="4" t="s">
        <v>5911</v>
      </c>
      <c r="C3431" s="5">
        <v>41489</v>
      </c>
      <c r="D3431" s="5">
        <v>41549</v>
      </c>
      <c r="E3431" s="4" t="s">
        <v>5185</v>
      </c>
      <c r="F3431" s="4" t="s">
        <v>5185</v>
      </c>
    </row>
    <row r="3432" spans="1:6" x14ac:dyDescent="0.25">
      <c r="A3432" s="4" t="str">
        <f>CONCATENATE("3071-0000-2686","")</f>
        <v>3071-0000-2686</v>
      </c>
      <c r="B3432" s="4" t="s">
        <v>3279</v>
      </c>
      <c r="C3432" s="5">
        <v>41489</v>
      </c>
      <c r="D3432" s="5">
        <v>41549</v>
      </c>
      <c r="E3432" s="4" t="s">
        <v>2944</v>
      </c>
      <c r="F3432" s="4" t="s">
        <v>3164</v>
      </c>
    </row>
    <row r="3433" spans="1:6" x14ac:dyDescent="0.25">
      <c r="A3433" s="4" t="str">
        <f>CONCATENATE("3071-0000-2209","")</f>
        <v>3071-0000-2209</v>
      </c>
      <c r="B3433" s="4" t="s">
        <v>3163</v>
      </c>
      <c r="C3433" s="5">
        <v>41489</v>
      </c>
      <c r="D3433" s="5">
        <v>41549</v>
      </c>
      <c r="E3433" s="4" t="s">
        <v>2944</v>
      </c>
      <c r="F3433" s="4" t="s">
        <v>2945</v>
      </c>
    </row>
    <row r="3434" spans="1:6" x14ac:dyDescent="0.25">
      <c r="A3434" s="4" t="str">
        <f>CONCATENATE("3071-0000-0944","")</f>
        <v>3071-0000-0944</v>
      </c>
      <c r="B3434" s="4" t="s">
        <v>2149</v>
      </c>
      <c r="C3434" s="5">
        <v>41489</v>
      </c>
      <c r="D3434" s="5">
        <v>41549</v>
      </c>
      <c r="E3434" s="4" t="s">
        <v>1857</v>
      </c>
      <c r="F3434" s="4" t="s">
        <v>1857</v>
      </c>
    </row>
    <row r="3435" spans="1:6" x14ac:dyDescent="0.25">
      <c r="A3435" s="4" t="str">
        <f>CONCATENATE("3071-0000-7149","")</f>
        <v>3071-0000-7149</v>
      </c>
      <c r="B3435" s="4" t="s">
        <v>5001</v>
      </c>
      <c r="C3435" s="5">
        <v>41489</v>
      </c>
      <c r="D3435" s="5">
        <v>41549</v>
      </c>
      <c r="E3435" s="4" t="s">
        <v>1410</v>
      </c>
      <c r="F3435" s="4" t="s">
        <v>1410</v>
      </c>
    </row>
    <row r="3436" spans="1:6" x14ac:dyDescent="0.25">
      <c r="A3436" s="4" t="str">
        <f>CONCATENATE("3071-0000-2154","")</f>
        <v>3071-0000-2154</v>
      </c>
      <c r="B3436" s="4" t="s">
        <v>3179</v>
      </c>
      <c r="C3436" s="5">
        <v>41489</v>
      </c>
      <c r="D3436" s="5">
        <v>41549</v>
      </c>
      <c r="E3436" s="4" t="s">
        <v>2944</v>
      </c>
      <c r="F3436" s="4" t="s">
        <v>2945</v>
      </c>
    </row>
    <row r="3437" spans="1:6" x14ac:dyDescent="0.25">
      <c r="A3437" s="4" t="str">
        <f>CONCATENATE("3071-0000-9238","")</f>
        <v>3071-0000-9238</v>
      </c>
      <c r="B3437" s="4" t="s">
        <v>8353</v>
      </c>
      <c r="C3437" s="5">
        <v>41489</v>
      </c>
      <c r="D3437" s="5">
        <v>41549</v>
      </c>
      <c r="E3437" s="4" t="s">
        <v>5185</v>
      </c>
      <c r="F3437" s="4" t="s">
        <v>5185</v>
      </c>
    </row>
    <row r="3438" spans="1:6" x14ac:dyDescent="0.25">
      <c r="A3438" s="4" t="str">
        <f>CONCATENATE("3071-0000-6723","")</f>
        <v>3071-0000-6723</v>
      </c>
      <c r="B3438" s="4" t="s">
        <v>8189</v>
      </c>
      <c r="C3438" s="5">
        <v>41489</v>
      </c>
      <c r="D3438" s="5">
        <v>41549</v>
      </c>
      <c r="E3438" s="4" t="s">
        <v>5185</v>
      </c>
      <c r="F3438" s="4" t="s">
        <v>5185</v>
      </c>
    </row>
    <row r="3439" spans="1:6" x14ac:dyDescent="0.25">
      <c r="A3439" s="4" t="str">
        <f>CONCATENATE("3071-0000-0018","")</f>
        <v>3071-0000-0018</v>
      </c>
      <c r="B3439" s="4" t="s">
        <v>33</v>
      </c>
      <c r="C3439" s="5">
        <v>41489</v>
      </c>
      <c r="D3439" s="5">
        <v>41549</v>
      </c>
      <c r="E3439" s="4" t="s">
        <v>7</v>
      </c>
      <c r="F3439" s="4" t="s">
        <v>7</v>
      </c>
    </row>
    <row r="3440" spans="1:6" x14ac:dyDescent="0.25">
      <c r="A3440" s="4" t="str">
        <f>CONCATENATE("3071-0000-6194","")</f>
        <v>3071-0000-6194</v>
      </c>
      <c r="B3440" s="4" t="s">
        <v>6925</v>
      </c>
      <c r="C3440" s="5">
        <v>41489</v>
      </c>
      <c r="D3440" s="5">
        <v>41549</v>
      </c>
      <c r="E3440" s="4" t="s">
        <v>1410</v>
      </c>
      <c r="F3440" s="4" t="s">
        <v>1410</v>
      </c>
    </row>
    <row r="3441" spans="1:6" x14ac:dyDescent="0.25">
      <c r="A3441" s="4" t="str">
        <f>CONCATENATE("3071-0000-8501","")</f>
        <v>3071-0000-8501</v>
      </c>
      <c r="B3441" s="4" t="s">
        <v>6148</v>
      </c>
      <c r="C3441" s="5">
        <v>41489</v>
      </c>
      <c r="D3441" s="5">
        <v>41549</v>
      </c>
      <c r="E3441" s="4" t="s">
        <v>5185</v>
      </c>
      <c r="F3441" s="4" t="s">
        <v>5945</v>
      </c>
    </row>
    <row r="3442" spans="1:6" x14ac:dyDescent="0.25">
      <c r="A3442" s="4" t="str">
        <f>CONCATENATE("3071-0000-7034","")</f>
        <v>3071-0000-7034</v>
      </c>
      <c r="B3442" s="4" t="s">
        <v>4870</v>
      </c>
      <c r="C3442" s="5">
        <v>41489</v>
      </c>
      <c r="D3442" s="5">
        <v>41549</v>
      </c>
      <c r="E3442" s="4" t="s">
        <v>1410</v>
      </c>
      <c r="F3442" s="4" t="s">
        <v>1410</v>
      </c>
    </row>
    <row r="3443" spans="1:6" x14ac:dyDescent="0.25">
      <c r="A3443" s="4" t="str">
        <f>CONCATENATE("3071-0000-8280","")</f>
        <v>3071-0000-8280</v>
      </c>
      <c r="B3443" s="4" t="s">
        <v>6218</v>
      </c>
      <c r="C3443" s="5">
        <v>41489</v>
      </c>
      <c r="D3443" s="5">
        <v>41549</v>
      </c>
      <c r="E3443" s="4" t="s">
        <v>5185</v>
      </c>
      <c r="F3443" s="4" t="s">
        <v>5185</v>
      </c>
    </row>
    <row r="3444" spans="1:6" x14ac:dyDescent="0.25">
      <c r="A3444" s="4" t="str">
        <f>CONCATENATE("3071-0000-8281","")</f>
        <v>3071-0000-8281</v>
      </c>
      <c r="B3444" s="4" t="s">
        <v>6219</v>
      </c>
      <c r="C3444" s="5">
        <v>41489</v>
      </c>
      <c r="D3444" s="5">
        <v>41549</v>
      </c>
      <c r="E3444" s="4" t="s">
        <v>5185</v>
      </c>
      <c r="F3444" s="4" t="s">
        <v>5185</v>
      </c>
    </row>
    <row r="3445" spans="1:6" x14ac:dyDescent="0.25">
      <c r="A3445" s="4" t="str">
        <f>CONCATENATE("3071-0000-6981","")</f>
        <v>3071-0000-6981</v>
      </c>
      <c r="B3445" s="4" t="s">
        <v>4476</v>
      </c>
      <c r="C3445" s="5">
        <v>41489</v>
      </c>
      <c r="D3445" s="5">
        <v>41549</v>
      </c>
      <c r="E3445" s="4" t="s">
        <v>1410</v>
      </c>
      <c r="F3445" s="4" t="s">
        <v>1410</v>
      </c>
    </row>
    <row r="3446" spans="1:6" x14ac:dyDescent="0.25">
      <c r="A3446" s="4" t="str">
        <f>CONCATENATE("3071-0000-2762","")</f>
        <v>3071-0000-2762</v>
      </c>
      <c r="B3446" s="4" t="s">
        <v>857</v>
      </c>
      <c r="C3446" s="5">
        <v>41489</v>
      </c>
      <c r="D3446" s="5">
        <v>41549</v>
      </c>
      <c r="E3446" s="4" t="s">
        <v>7</v>
      </c>
      <c r="F3446" s="4" t="s">
        <v>808</v>
      </c>
    </row>
    <row r="3447" spans="1:6" x14ac:dyDescent="0.25">
      <c r="A3447" s="4" t="str">
        <f>CONCATENATE("3071-0000-4617","")</f>
        <v>3071-0000-4617</v>
      </c>
      <c r="B3447" s="4" t="s">
        <v>9148</v>
      </c>
      <c r="C3447" s="5">
        <v>41489</v>
      </c>
      <c r="D3447" s="5">
        <v>41549</v>
      </c>
      <c r="E3447" s="4" t="s">
        <v>1410</v>
      </c>
      <c r="F3447" s="4" t="s">
        <v>8696</v>
      </c>
    </row>
    <row r="3448" spans="1:6" x14ac:dyDescent="0.25">
      <c r="A3448" s="4" t="str">
        <f>CONCATENATE("3071-0000-4270","")</f>
        <v>3071-0000-4270</v>
      </c>
      <c r="B3448" s="4" t="s">
        <v>8898</v>
      </c>
      <c r="C3448" s="5">
        <v>41489</v>
      </c>
      <c r="D3448" s="5">
        <v>41549</v>
      </c>
      <c r="E3448" s="4" t="s">
        <v>1410</v>
      </c>
      <c r="F3448" s="4" t="s">
        <v>8696</v>
      </c>
    </row>
    <row r="3449" spans="1:6" x14ac:dyDescent="0.25">
      <c r="A3449" s="4" t="str">
        <f>CONCATENATE("3071-0000-4265","")</f>
        <v>3071-0000-4265</v>
      </c>
      <c r="B3449" s="4" t="s">
        <v>8916</v>
      </c>
      <c r="C3449" s="5">
        <v>41489</v>
      </c>
      <c r="D3449" s="5">
        <v>41549</v>
      </c>
      <c r="E3449" s="4" t="s">
        <v>1410</v>
      </c>
      <c r="F3449" s="4" t="s">
        <v>8696</v>
      </c>
    </row>
    <row r="3450" spans="1:6" x14ac:dyDescent="0.25">
      <c r="A3450" s="4" t="str">
        <f>CONCATENATE("3071-0000-2049","")</f>
        <v>3071-0000-2049</v>
      </c>
      <c r="B3450" s="4" t="s">
        <v>3307</v>
      </c>
      <c r="C3450" s="5">
        <v>41489</v>
      </c>
      <c r="D3450" s="5">
        <v>41549</v>
      </c>
      <c r="E3450" s="4" t="s">
        <v>2944</v>
      </c>
      <c r="F3450" s="4" t="s">
        <v>2945</v>
      </c>
    </row>
    <row r="3451" spans="1:6" x14ac:dyDescent="0.25">
      <c r="A3451" s="4" t="str">
        <f>CONCATENATE("3071-0000-1051","")</f>
        <v>3071-0000-1051</v>
      </c>
      <c r="B3451" s="4" t="s">
        <v>2018</v>
      </c>
      <c r="C3451" s="5">
        <v>41489</v>
      </c>
      <c r="D3451" s="5">
        <v>41549</v>
      </c>
      <c r="E3451" s="4" t="s">
        <v>1857</v>
      </c>
      <c r="F3451" s="4" t="s">
        <v>1857</v>
      </c>
    </row>
    <row r="3452" spans="1:6" x14ac:dyDescent="0.25">
      <c r="A3452" s="4" t="str">
        <f>CONCATENATE("3071-0000-2668","")</f>
        <v>3071-0000-2668</v>
      </c>
      <c r="B3452" s="4" t="s">
        <v>3383</v>
      </c>
      <c r="C3452" s="5">
        <v>41489</v>
      </c>
      <c r="D3452" s="5">
        <v>41549</v>
      </c>
      <c r="E3452" s="4" t="s">
        <v>1857</v>
      </c>
      <c r="F3452" s="4" t="s">
        <v>3306</v>
      </c>
    </row>
    <row r="3453" spans="1:6" x14ac:dyDescent="0.25">
      <c r="A3453" s="4" t="str">
        <f>CONCATENATE("3071-0000-3812","")</f>
        <v>3071-0000-3812</v>
      </c>
      <c r="B3453" s="4" t="s">
        <v>3847</v>
      </c>
      <c r="C3453" s="5">
        <v>41489</v>
      </c>
      <c r="D3453" s="5">
        <v>41549</v>
      </c>
      <c r="E3453" s="4" t="s">
        <v>7</v>
      </c>
      <c r="F3453" s="4" t="s">
        <v>3818</v>
      </c>
    </row>
    <row r="3454" spans="1:6" x14ac:dyDescent="0.25">
      <c r="A3454" s="4" t="str">
        <f>CONCATENATE("3071-0000-5351","")</f>
        <v>3071-0000-5351</v>
      </c>
      <c r="B3454" s="4" t="s">
        <v>6853</v>
      </c>
      <c r="C3454" s="5">
        <v>41489</v>
      </c>
      <c r="D3454" s="5">
        <v>41549</v>
      </c>
      <c r="E3454" s="4" t="s">
        <v>5185</v>
      </c>
      <c r="F3454" s="4" t="s">
        <v>5185</v>
      </c>
    </row>
    <row r="3455" spans="1:6" x14ac:dyDescent="0.25">
      <c r="A3455" s="4" t="str">
        <f>CONCATENATE("3071-0000-2334","")</f>
        <v>3071-0000-2334</v>
      </c>
      <c r="B3455" s="4" t="s">
        <v>3395</v>
      </c>
      <c r="C3455" s="5">
        <v>41489</v>
      </c>
      <c r="D3455" s="5">
        <v>41549</v>
      </c>
      <c r="E3455" s="4" t="s">
        <v>2944</v>
      </c>
      <c r="F3455" s="4" t="s">
        <v>2945</v>
      </c>
    </row>
    <row r="3456" spans="1:6" x14ac:dyDescent="0.25">
      <c r="A3456" s="4" t="str">
        <f>CONCATENATE("3071-0000-2020","")</f>
        <v>3071-0000-2020</v>
      </c>
      <c r="B3456" s="4" t="s">
        <v>3323</v>
      </c>
      <c r="C3456" s="5">
        <v>41489</v>
      </c>
      <c r="D3456" s="5">
        <v>41549</v>
      </c>
      <c r="E3456" s="4" t="s">
        <v>2944</v>
      </c>
      <c r="F3456" s="4" t="s">
        <v>2945</v>
      </c>
    </row>
    <row r="3457" spans="1:6" x14ac:dyDescent="0.25">
      <c r="A3457" s="4" t="str">
        <f>CONCATENATE("3071-0000-8949","")</f>
        <v>3071-0000-8949</v>
      </c>
      <c r="B3457" s="4" t="s">
        <v>6270</v>
      </c>
      <c r="C3457" s="5">
        <v>41489</v>
      </c>
      <c r="D3457" s="5">
        <v>41549</v>
      </c>
      <c r="E3457" s="4" t="s">
        <v>5185</v>
      </c>
      <c r="F3457" s="4" t="s">
        <v>6181</v>
      </c>
    </row>
    <row r="3458" spans="1:6" x14ac:dyDescent="0.25">
      <c r="A3458" s="4" t="str">
        <f>CONCATENATE("3071-0000-0049","")</f>
        <v>3071-0000-0049</v>
      </c>
      <c r="B3458" s="4" t="s">
        <v>94</v>
      </c>
      <c r="C3458" s="5">
        <v>41489</v>
      </c>
      <c r="D3458" s="5">
        <v>41549</v>
      </c>
      <c r="E3458" s="4" t="s">
        <v>7</v>
      </c>
      <c r="F3458" s="4" t="s">
        <v>7</v>
      </c>
    </row>
    <row r="3459" spans="1:6" x14ac:dyDescent="0.25">
      <c r="A3459" s="4" t="str">
        <f>CONCATENATE("3071-0000-2347","")</f>
        <v>3071-0000-2347</v>
      </c>
      <c r="B3459" s="4" t="s">
        <v>3316</v>
      </c>
      <c r="C3459" s="5">
        <v>41489</v>
      </c>
      <c r="D3459" s="5">
        <v>41549</v>
      </c>
      <c r="E3459" s="4" t="s">
        <v>2944</v>
      </c>
      <c r="F3459" s="4" t="s">
        <v>2945</v>
      </c>
    </row>
    <row r="3460" spans="1:6" x14ac:dyDescent="0.25">
      <c r="A3460" s="4" t="str">
        <f>CONCATENATE("3071-0000-2350","")</f>
        <v>3071-0000-2350</v>
      </c>
      <c r="B3460" s="4" t="s">
        <v>3344</v>
      </c>
      <c r="C3460" s="5">
        <v>41489</v>
      </c>
      <c r="D3460" s="5">
        <v>41549</v>
      </c>
      <c r="E3460" s="4" t="s">
        <v>2944</v>
      </c>
      <c r="F3460" s="4" t="s">
        <v>2945</v>
      </c>
    </row>
    <row r="3461" spans="1:6" x14ac:dyDescent="0.25">
      <c r="A3461" s="4" t="str">
        <f>CONCATENATE("3071-0000-1881","")</f>
        <v>3071-0000-1881</v>
      </c>
      <c r="B3461" s="4" t="s">
        <v>3580</v>
      </c>
      <c r="C3461" s="5">
        <v>41489</v>
      </c>
      <c r="D3461" s="5">
        <v>41549</v>
      </c>
      <c r="E3461" s="4" t="s">
        <v>2944</v>
      </c>
      <c r="F3461" s="4" t="s">
        <v>3567</v>
      </c>
    </row>
    <row r="3462" spans="1:6" x14ac:dyDescent="0.25">
      <c r="A3462" s="4" t="str">
        <f>CONCATENATE("3071-0000-0399","")</f>
        <v>3071-0000-0399</v>
      </c>
      <c r="B3462" s="4" t="s">
        <v>497</v>
      </c>
      <c r="C3462" s="5">
        <v>41489</v>
      </c>
      <c r="D3462" s="5">
        <v>41549</v>
      </c>
      <c r="E3462" s="4" t="s">
        <v>7</v>
      </c>
      <c r="F3462" s="4" t="s">
        <v>7</v>
      </c>
    </row>
    <row r="3463" spans="1:6" x14ac:dyDescent="0.25">
      <c r="A3463" s="4" t="str">
        <f>CONCATENATE("3071-0000-1915","")</f>
        <v>3071-0000-1915</v>
      </c>
      <c r="B3463" s="4" t="s">
        <v>2975</v>
      </c>
      <c r="C3463" s="5">
        <v>41489</v>
      </c>
      <c r="D3463" s="5">
        <v>41549</v>
      </c>
      <c r="E3463" s="4" t="s">
        <v>2944</v>
      </c>
      <c r="F3463" s="4" t="s">
        <v>2945</v>
      </c>
    </row>
    <row r="3464" spans="1:6" x14ac:dyDescent="0.25">
      <c r="A3464" s="4" t="str">
        <f>CONCATENATE("3071-0000-2188","")</f>
        <v>3071-0000-2188</v>
      </c>
      <c r="B3464" s="4" t="s">
        <v>3676</v>
      </c>
      <c r="C3464" s="5">
        <v>41489</v>
      </c>
      <c r="D3464" s="5">
        <v>41549</v>
      </c>
      <c r="E3464" s="4" t="s">
        <v>2944</v>
      </c>
      <c r="F3464" s="4" t="s">
        <v>2945</v>
      </c>
    </row>
    <row r="3465" spans="1:6" x14ac:dyDescent="0.25">
      <c r="A3465" s="4" t="str">
        <f>CONCATENATE("3071-0000-2438","")</f>
        <v>3071-0000-2438</v>
      </c>
      <c r="B3465" s="4" t="s">
        <v>3426</v>
      </c>
      <c r="C3465" s="5">
        <v>41489</v>
      </c>
      <c r="D3465" s="5">
        <v>41549</v>
      </c>
      <c r="E3465" s="4" t="s">
        <v>1857</v>
      </c>
      <c r="F3465" s="4" t="s">
        <v>3306</v>
      </c>
    </row>
    <row r="3466" spans="1:6" x14ac:dyDescent="0.25">
      <c r="A3466" s="4" t="str">
        <f>CONCATENATE("3071-0000-5627","")</f>
        <v>3071-0000-5627</v>
      </c>
      <c r="B3466" s="4" t="s">
        <v>7246</v>
      </c>
      <c r="C3466" s="5">
        <v>41489</v>
      </c>
      <c r="D3466" s="5">
        <v>41549</v>
      </c>
      <c r="E3466" s="4" t="s">
        <v>5185</v>
      </c>
      <c r="F3466" s="4" t="s">
        <v>5185</v>
      </c>
    </row>
    <row r="3467" spans="1:6" x14ac:dyDescent="0.25">
      <c r="A3467" s="4" t="str">
        <f>CONCATENATE("3071-0000-5374","")</f>
        <v>3071-0000-5374</v>
      </c>
      <c r="B3467" s="4" t="s">
        <v>6884</v>
      </c>
      <c r="C3467" s="5">
        <v>41489</v>
      </c>
      <c r="D3467" s="5">
        <v>41549</v>
      </c>
      <c r="E3467" s="4" t="s">
        <v>5185</v>
      </c>
      <c r="F3467" s="4" t="s">
        <v>5185</v>
      </c>
    </row>
    <row r="3468" spans="1:6" x14ac:dyDescent="0.25">
      <c r="A3468" s="4" t="str">
        <f>CONCATENATE("3071-0000-7191","")</f>
        <v>3071-0000-7191</v>
      </c>
      <c r="B3468" s="4" t="s">
        <v>4988</v>
      </c>
      <c r="C3468" s="5">
        <v>41489</v>
      </c>
      <c r="D3468" s="5">
        <v>41549</v>
      </c>
      <c r="E3468" s="4" t="s">
        <v>1410</v>
      </c>
      <c r="F3468" s="4" t="s">
        <v>1410</v>
      </c>
    </row>
    <row r="3469" spans="1:6" x14ac:dyDescent="0.25">
      <c r="A3469" s="4" t="str">
        <f>CONCATENATE("3071-0000-3688","")</f>
        <v>3071-0000-3688</v>
      </c>
      <c r="B3469" s="4" t="s">
        <v>1817</v>
      </c>
      <c r="C3469" s="5">
        <v>41489</v>
      </c>
      <c r="D3469" s="5">
        <v>41549</v>
      </c>
      <c r="E3469" s="4" t="s">
        <v>1410</v>
      </c>
      <c r="F3469" s="4" t="s">
        <v>1411</v>
      </c>
    </row>
    <row r="3470" spans="1:6" x14ac:dyDescent="0.25">
      <c r="A3470" s="4" t="str">
        <f>CONCATENATE("3071-0000-8351","")</f>
        <v>3071-0000-8351</v>
      </c>
      <c r="B3470" s="4" t="s">
        <v>5646</v>
      </c>
      <c r="C3470" s="5">
        <v>41489</v>
      </c>
      <c r="D3470" s="5">
        <v>41549</v>
      </c>
      <c r="E3470" s="4" t="s">
        <v>5185</v>
      </c>
      <c r="F3470" s="4" t="s">
        <v>5185</v>
      </c>
    </row>
    <row r="3471" spans="1:6" x14ac:dyDescent="0.25">
      <c r="A3471" s="4" t="str">
        <f>CONCATENATE("3071-0000-9001","")</f>
        <v>3071-0000-9001</v>
      </c>
      <c r="B3471" s="4" t="s">
        <v>6576</v>
      </c>
      <c r="C3471" s="5">
        <v>41489</v>
      </c>
      <c r="D3471" s="5">
        <v>41549</v>
      </c>
      <c r="E3471" s="4" t="s">
        <v>5185</v>
      </c>
      <c r="F3471" s="4" t="s">
        <v>5292</v>
      </c>
    </row>
    <row r="3472" spans="1:6" x14ac:dyDescent="0.25">
      <c r="A3472" s="4" t="str">
        <f>CONCATENATE("3071-0000-8435","")</f>
        <v>3071-0000-8435</v>
      </c>
      <c r="B3472" s="4" t="s">
        <v>5272</v>
      </c>
      <c r="C3472" s="5">
        <v>41489</v>
      </c>
      <c r="D3472" s="5">
        <v>41549</v>
      </c>
      <c r="E3472" s="4" t="s">
        <v>5185</v>
      </c>
      <c r="F3472" s="4" t="s">
        <v>5185</v>
      </c>
    </row>
    <row r="3473" spans="1:6" x14ac:dyDescent="0.25">
      <c r="A3473" s="4" t="str">
        <f>CONCATENATE("3071-0000-8431","")</f>
        <v>3071-0000-8431</v>
      </c>
      <c r="B3473" s="4" t="s">
        <v>5281</v>
      </c>
      <c r="C3473" s="5">
        <v>41489</v>
      </c>
      <c r="D3473" s="5">
        <v>41549</v>
      </c>
      <c r="E3473" s="4" t="s">
        <v>5185</v>
      </c>
      <c r="F3473" s="4" t="s">
        <v>5185</v>
      </c>
    </row>
    <row r="3474" spans="1:6" x14ac:dyDescent="0.25">
      <c r="A3474" s="4" t="str">
        <f>CONCATENATE("3071-0000-4962","")</f>
        <v>3071-0000-4962</v>
      </c>
      <c r="B3474" s="4" t="s">
        <v>9161</v>
      </c>
      <c r="C3474" s="5">
        <v>41489</v>
      </c>
      <c r="D3474" s="5">
        <v>41549</v>
      </c>
      <c r="E3474" s="4" t="s">
        <v>7069</v>
      </c>
      <c r="F3474" s="4" t="s">
        <v>7070</v>
      </c>
    </row>
    <row r="3475" spans="1:6" x14ac:dyDescent="0.25">
      <c r="A3475" s="4" t="str">
        <f>CONCATENATE("3071-0000-5635","")</f>
        <v>3071-0000-5635</v>
      </c>
      <c r="B3475" s="4" t="s">
        <v>7258</v>
      </c>
      <c r="C3475" s="5">
        <v>41489</v>
      </c>
      <c r="D3475" s="5">
        <v>41549</v>
      </c>
      <c r="E3475" s="4" t="s">
        <v>5185</v>
      </c>
      <c r="F3475" s="4" t="s">
        <v>5185</v>
      </c>
    </row>
    <row r="3476" spans="1:6" x14ac:dyDescent="0.25">
      <c r="A3476" s="4" t="str">
        <f>CONCATENATE("3071-0000-2657","")</f>
        <v>3071-0000-2657</v>
      </c>
      <c r="B3476" s="4" t="s">
        <v>3376</v>
      </c>
      <c r="C3476" s="5">
        <v>41489</v>
      </c>
      <c r="D3476" s="5">
        <v>41549</v>
      </c>
      <c r="E3476" s="4" t="s">
        <v>1857</v>
      </c>
      <c r="F3476" s="4" t="s">
        <v>3306</v>
      </c>
    </row>
    <row r="3477" spans="1:6" x14ac:dyDescent="0.25">
      <c r="A3477" s="4" t="str">
        <f>CONCATENATE("3071-0000-4959","")</f>
        <v>3071-0000-4959</v>
      </c>
      <c r="B3477" s="4" t="s">
        <v>9156</v>
      </c>
      <c r="C3477" s="5">
        <v>41489</v>
      </c>
      <c r="D3477" s="5">
        <v>41549</v>
      </c>
      <c r="E3477" s="4" t="s">
        <v>7069</v>
      </c>
      <c r="F3477" s="4" t="s">
        <v>7070</v>
      </c>
    </row>
    <row r="3478" spans="1:6" x14ac:dyDescent="0.25">
      <c r="A3478" s="4" t="str">
        <f>CONCATENATE("3071-0000-4965","")</f>
        <v>3071-0000-4965</v>
      </c>
      <c r="B3478" s="4" t="s">
        <v>9155</v>
      </c>
      <c r="C3478" s="5">
        <v>41489</v>
      </c>
      <c r="D3478" s="5">
        <v>41549</v>
      </c>
      <c r="E3478" s="4" t="s">
        <v>7069</v>
      </c>
      <c r="F3478" s="4" t="s">
        <v>7070</v>
      </c>
    </row>
    <row r="3479" spans="1:6" x14ac:dyDescent="0.25">
      <c r="A3479" s="4" t="str">
        <f>CONCATENATE("3071-0000-4961","")</f>
        <v>3071-0000-4961</v>
      </c>
      <c r="B3479" s="4" t="s">
        <v>9160</v>
      </c>
      <c r="C3479" s="5">
        <v>41489</v>
      </c>
      <c r="D3479" s="5">
        <v>41549</v>
      </c>
      <c r="E3479" s="4" t="s">
        <v>7069</v>
      </c>
      <c r="F3479" s="4" t="s">
        <v>7070</v>
      </c>
    </row>
    <row r="3480" spans="1:6" x14ac:dyDescent="0.25">
      <c r="A3480" s="4" t="str">
        <f>CONCATENATE("3071-0000-5100","")</f>
        <v>3071-0000-5100</v>
      </c>
      <c r="B3480" s="4" t="s">
        <v>9235</v>
      </c>
      <c r="C3480" s="5">
        <v>41489</v>
      </c>
      <c r="D3480" s="5">
        <v>41549</v>
      </c>
      <c r="E3480" s="4" t="s">
        <v>7069</v>
      </c>
      <c r="F3480" s="4" t="s">
        <v>9210</v>
      </c>
    </row>
    <row r="3481" spans="1:6" x14ac:dyDescent="0.25">
      <c r="A3481" s="4" t="str">
        <f>CONCATENATE("3071-0000-2145","")</f>
        <v>3071-0000-2145</v>
      </c>
      <c r="B3481" s="4" t="s">
        <v>3444</v>
      </c>
      <c r="C3481" s="5">
        <v>41489</v>
      </c>
      <c r="D3481" s="5">
        <v>41549</v>
      </c>
      <c r="E3481" s="4" t="s">
        <v>2944</v>
      </c>
      <c r="F3481" s="4" t="s">
        <v>2945</v>
      </c>
    </row>
    <row r="3482" spans="1:6" x14ac:dyDescent="0.25">
      <c r="A3482" s="4" t="str">
        <f>CONCATENATE("3071-0000-2725","")</f>
        <v>3071-0000-2725</v>
      </c>
      <c r="B3482" s="4" t="s">
        <v>3521</v>
      </c>
      <c r="C3482" s="5">
        <v>41489</v>
      </c>
      <c r="D3482" s="5">
        <v>41549</v>
      </c>
      <c r="E3482" s="4" t="s">
        <v>2944</v>
      </c>
      <c r="F3482" s="4" t="s">
        <v>3515</v>
      </c>
    </row>
    <row r="3483" spans="1:6" x14ac:dyDescent="0.25">
      <c r="A3483" s="4" t="str">
        <f>CONCATENATE("3071-0000-5135","")</f>
        <v>3071-0000-5135</v>
      </c>
      <c r="B3483" s="4" t="s">
        <v>8975</v>
      </c>
      <c r="C3483" s="5">
        <v>41489</v>
      </c>
      <c r="D3483" s="5">
        <v>41549</v>
      </c>
      <c r="E3483" s="4" t="s">
        <v>1410</v>
      </c>
      <c r="F3483" s="4" t="s">
        <v>8903</v>
      </c>
    </row>
    <row r="3484" spans="1:6" x14ac:dyDescent="0.25">
      <c r="A3484" s="4" t="str">
        <f>CONCATENATE("3071-0000-2559","")</f>
        <v>3071-0000-2559</v>
      </c>
      <c r="B3484" s="4" t="s">
        <v>3692</v>
      </c>
      <c r="C3484" s="5">
        <v>41489</v>
      </c>
      <c r="D3484" s="5">
        <v>41549</v>
      </c>
      <c r="E3484" s="4" t="s">
        <v>2944</v>
      </c>
      <c r="F3484" s="4" t="s">
        <v>3164</v>
      </c>
    </row>
    <row r="3485" spans="1:6" x14ac:dyDescent="0.25">
      <c r="A3485" s="4" t="str">
        <f>CONCATENATE("3071-0000-2040","")</f>
        <v>3071-0000-2040</v>
      </c>
      <c r="B3485" s="4" t="s">
        <v>3349</v>
      </c>
      <c r="C3485" s="5">
        <v>41489</v>
      </c>
      <c r="D3485" s="5">
        <v>41549</v>
      </c>
      <c r="E3485" s="4" t="s">
        <v>2944</v>
      </c>
      <c r="F3485" s="4" t="s">
        <v>2945</v>
      </c>
    </row>
    <row r="3486" spans="1:6" x14ac:dyDescent="0.25">
      <c r="A3486" s="4" t="str">
        <f>CONCATENATE("3071-0000-2434","")</f>
        <v>3071-0000-2434</v>
      </c>
      <c r="B3486" s="4" t="s">
        <v>3354</v>
      </c>
      <c r="C3486" s="5">
        <v>41489</v>
      </c>
      <c r="D3486" s="5">
        <v>41549</v>
      </c>
      <c r="E3486" s="4" t="s">
        <v>1857</v>
      </c>
      <c r="F3486" s="4" t="s">
        <v>3306</v>
      </c>
    </row>
    <row r="3487" spans="1:6" x14ac:dyDescent="0.25">
      <c r="A3487" s="4" t="str">
        <f>CONCATENATE("3071-0000-3502","")</f>
        <v>3071-0000-3502</v>
      </c>
      <c r="B3487" s="4" t="s">
        <v>1803</v>
      </c>
      <c r="C3487" s="5">
        <v>41489</v>
      </c>
      <c r="D3487" s="5">
        <v>41549</v>
      </c>
      <c r="E3487" s="4" t="s">
        <v>1410</v>
      </c>
      <c r="F3487" s="4" t="s">
        <v>1411</v>
      </c>
    </row>
    <row r="3488" spans="1:6" x14ac:dyDescent="0.25">
      <c r="A3488" s="4" t="str">
        <f>CONCATENATE("3071-0000-4501","")</f>
        <v>3071-0000-4501</v>
      </c>
      <c r="B3488" s="4" t="s">
        <v>9501</v>
      </c>
      <c r="C3488" s="5">
        <v>41489</v>
      </c>
      <c r="D3488" s="5">
        <v>41549</v>
      </c>
      <c r="E3488" s="4" t="s">
        <v>1410</v>
      </c>
      <c r="F3488" s="4" t="s">
        <v>8696</v>
      </c>
    </row>
    <row r="3489" spans="1:6" x14ac:dyDescent="0.25">
      <c r="A3489" s="4" t="str">
        <f>CONCATENATE("3071-0000-7560","")</f>
        <v>3071-0000-7560</v>
      </c>
      <c r="B3489" s="4" t="s">
        <v>4562</v>
      </c>
      <c r="C3489" s="5">
        <v>41489</v>
      </c>
      <c r="D3489" s="5">
        <v>41549</v>
      </c>
      <c r="E3489" s="4" t="s">
        <v>1410</v>
      </c>
      <c r="F3489" s="4" t="s">
        <v>1410</v>
      </c>
    </row>
    <row r="3490" spans="1:6" x14ac:dyDescent="0.25">
      <c r="A3490" s="4" t="str">
        <f>CONCATENATE("3071-0000-4960","")</f>
        <v>3071-0000-4960</v>
      </c>
      <c r="B3490" s="4" t="s">
        <v>9167</v>
      </c>
      <c r="C3490" s="5">
        <v>41489</v>
      </c>
      <c r="D3490" s="5">
        <v>41549</v>
      </c>
      <c r="E3490" s="4" t="s">
        <v>7069</v>
      </c>
      <c r="F3490" s="4" t="s">
        <v>7070</v>
      </c>
    </row>
    <row r="3491" spans="1:6" x14ac:dyDescent="0.25">
      <c r="A3491" s="4" t="str">
        <f>CONCATENATE("3071-0000-6911","")</f>
        <v>3071-0000-6911</v>
      </c>
      <c r="B3491" s="4" t="s">
        <v>4630</v>
      </c>
      <c r="C3491" s="5">
        <v>41489</v>
      </c>
      <c r="D3491" s="5">
        <v>41549</v>
      </c>
      <c r="E3491" s="4" t="s">
        <v>1410</v>
      </c>
      <c r="F3491" s="4" t="s">
        <v>1410</v>
      </c>
    </row>
    <row r="3492" spans="1:6" x14ac:dyDescent="0.25">
      <c r="A3492" s="4" t="str">
        <f>CONCATENATE("3071-0000-2553","")</f>
        <v>3071-0000-2553</v>
      </c>
      <c r="B3492" s="4" t="s">
        <v>3393</v>
      </c>
      <c r="C3492" s="5">
        <v>41489</v>
      </c>
      <c r="D3492" s="5">
        <v>41549</v>
      </c>
      <c r="E3492" s="4" t="s">
        <v>2944</v>
      </c>
      <c r="F3492" s="4" t="s">
        <v>2945</v>
      </c>
    </row>
    <row r="3493" spans="1:6" x14ac:dyDescent="0.25">
      <c r="A3493" s="4" t="str">
        <f>CONCATENATE("3071-0000-2080","")</f>
        <v>3071-0000-2080</v>
      </c>
      <c r="B3493" s="4" t="s">
        <v>3464</v>
      </c>
      <c r="C3493" s="5">
        <v>41489</v>
      </c>
      <c r="D3493" s="5">
        <v>41549</v>
      </c>
      <c r="E3493" s="4" t="s">
        <v>2944</v>
      </c>
      <c r="F3493" s="4" t="s">
        <v>2945</v>
      </c>
    </row>
    <row r="3494" spans="1:6" x14ac:dyDescent="0.25">
      <c r="A3494" s="4" t="str">
        <f>CONCATENATE("3071-0000-5377","")</f>
        <v>3071-0000-5377</v>
      </c>
      <c r="B3494" s="4" t="s">
        <v>6887</v>
      </c>
      <c r="C3494" s="5">
        <v>41489</v>
      </c>
      <c r="D3494" s="5">
        <v>41549</v>
      </c>
      <c r="E3494" s="4" t="s">
        <v>5185</v>
      </c>
      <c r="F3494" s="4" t="s">
        <v>5185</v>
      </c>
    </row>
    <row r="3495" spans="1:6" x14ac:dyDescent="0.25">
      <c r="A3495" s="4" t="str">
        <f>CONCATENATE("3071-0000-7641","")</f>
        <v>3071-0000-7641</v>
      </c>
      <c r="B3495" s="4" t="s">
        <v>5167</v>
      </c>
      <c r="C3495" s="5">
        <v>41489</v>
      </c>
      <c r="D3495" s="5">
        <v>41549</v>
      </c>
      <c r="E3495" s="4" t="s">
        <v>1410</v>
      </c>
      <c r="F3495" s="4" t="s">
        <v>4616</v>
      </c>
    </row>
    <row r="3496" spans="1:6" x14ac:dyDescent="0.25">
      <c r="A3496" s="4" t="str">
        <f>CONCATENATE("3071-0000-3689","")</f>
        <v>3071-0000-3689</v>
      </c>
      <c r="B3496" s="4" t="s">
        <v>1816</v>
      </c>
      <c r="C3496" s="5">
        <v>41489</v>
      </c>
      <c r="D3496" s="5">
        <v>41549</v>
      </c>
      <c r="E3496" s="4" t="s">
        <v>1410</v>
      </c>
      <c r="F3496" s="4" t="s">
        <v>1411</v>
      </c>
    </row>
    <row r="3497" spans="1:6" x14ac:dyDescent="0.25">
      <c r="A3497" s="4" t="str">
        <f>CONCATENATE("3071-0000-2149","")</f>
        <v>3071-0000-2149</v>
      </c>
      <c r="B3497" s="4" t="s">
        <v>3368</v>
      </c>
      <c r="C3497" s="5">
        <v>41489</v>
      </c>
      <c r="D3497" s="5">
        <v>41549</v>
      </c>
      <c r="E3497" s="4" t="s">
        <v>2944</v>
      </c>
      <c r="F3497" s="4" t="s">
        <v>2945</v>
      </c>
    </row>
    <row r="3498" spans="1:6" x14ac:dyDescent="0.25">
      <c r="A3498" s="4" t="str">
        <f>CONCATENATE("3071-0000-9085","")</f>
        <v>3071-0000-9085</v>
      </c>
      <c r="B3498" s="4" t="s">
        <v>5254</v>
      </c>
      <c r="C3498" s="5">
        <v>41489</v>
      </c>
      <c r="D3498" s="5">
        <v>41549</v>
      </c>
      <c r="E3498" s="4" t="s">
        <v>5185</v>
      </c>
      <c r="F3498" s="4" t="s">
        <v>5185</v>
      </c>
    </row>
    <row r="3499" spans="1:6" x14ac:dyDescent="0.25">
      <c r="A3499" s="4" t="str">
        <f>CONCATENATE("3071-0000-2670","")</f>
        <v>3071-0000-2670</v>
      </c>
      <c r="B3499" s="4" t="s">
        <v>3382</v>
      </c>
      <c r="C3499" s="5">
        <v>41489</v>
      </c>
      <c r="D3499" s="5">
        <v>41549</v>
      </c>
      <c r="E3499" s="4" t="s">
        <v>1857</v>
      </c>
      <c r="F3499" s="4" t="s">
        <v>3306</v>
      </c>
    </row>
    <row r="3500" spans="1:6" x14ac:dyDescent="0.25">
      <c r="A3500" s="4" t="str">
        <f>CONCATENATE("3071-0000-2674","")</f>
        <v>3071-0000-2674</v>
      </c>
      <c r="B3500" s="4" t="s">
        <v>3378</v>
      </c>
      <c r="C3500" s="5">
        <v>41489</v>
      </c>
      <c r="D3500" s="5">
        <v>41549</v>
      </c>
      <c r="E3500" s="4" t="s">
        <v>1857</v>
      </c>
      <c r="F3500" s="4" t="s">
        <v>3306</v>
      </c>
    </row>
    <row r="3501" spans="1:6" x14ac:dyDescent="0.25">
      <c r="A3501" s="4" t="str">
        <f>CONCATENATE("3071-0000-4275","")</f>
        <v>3071-0000-4275</v>
      </c>
      <c r="B3501" s="4" t="s">
        <v>8904</v>
      </c>
      <c r="C3501" s="5">
        <v>41489</v>
      </c>
      <c r="D3501" s="5">
        <v>41549</v>
      </c>
      <c r="E3501" s="4" t="s">
        <v>1410</v>
      </c>
      <c r="F3501" s="4" t="s">
        <v>8696</v>
      </c>
    </row>
    <row r="3502" spans="1:6" x14ac:dyDescent="0.25">
      <c r="A3502" s="4" t="str">
        <f>CONCATENATE("3071-0000-0877","")</f>
        <v>3071-0000-0877</v>
      </c>
      <c r="B3502" s="4" t="s">
        <v>2010</v>
      </c>
      <c r="C3502" s="5">
        <v>41489</v>
      </c>
      <c r="D3502" s="5">
        <v>41549</v>
      </c>
      <c r="E3502" s="4" t="s">
        <v>1857</v>
      </c>
      <c r="F3502" s="4" t="s">
        <v>1857</v>
      </c>
    </row>
    <row r="3503" spans="1:6" x14ac:dyDescent="0.25">
      <c r="A3503" s="4" t="str">
        <f>CONCATENATE("3071-0000-7330","")</f>
        <v>3071-0000-7330</v>
      </c>
      <c r="B3503" s="4" t="s">
        <v>4975</v>
      </c>
      <c r="C3503" s="5">
        <v>41489</v>
      </c>
      <c r="D3503" s="5">
        <v>41549</v>
      </c>
      <c r="E3503" s="4" t="s">
        <v>1410</v>
      </c>
      <c r="F3503" s="4" t="s">
        <v>1410</v>
      </c>
    </row>
    <row r="3504" spans="1:6" x14ac:dyDescent="0.25">
      <c r="A3504" s="4" t="str">
        <f>CONCATENATE("3071-0000-6467","")</f>
        <v>3071-0000-6467</v>
      </c>
      <c r="B3504" s="4" t="s">
        <v>8115</v>
      </c>
      <c r="C3504" s="5">
        <v>41489</v>
      </c>
      <c r="D3504" s="5">
        <v>41549</v>
      </c>
      <c r="E3504" s="4" t="s">
        <v>5185</v>
      </c>
      <c r="F3504" s="4" t="s">
        <v>5185</v>
      </c>
    </row>
    <row r="3505" spans="1:6" x14ac:dyDescent="0.25">
      <c r="A3505" s="4" t="str">
        <f>CONCATENATE("3071-0000-6446","")</f>
        <v>3071-0000-6446</v>
      </c>
      <c r="B3505" s="4" t="s">
        <v>8086</v>
      </c>
      <c r="C3505" s="5">
        <v>41489</v>
      </c>
      <c r="D3505" s="5">
        <v>41549</v>
      </c>
      <c r="E3505" s="4" t="s">
        <v>5185</v>
      </c>
      <c r="F3505" s="4" t="s">
        <v>5185</v>
      </c>
    </row>
    <row r="3506" spans="1:6" x14ac:dyDescent="0.25">
      <c r="A3506" s="4" t="str">
        <f>CONCATENATE("3071-0000-6455","")</f>
        <v>3071-0000-6455</v>
      </c>
      <c r="B3506" s="4" t="s">
        <v>8095</v>
      </c>
      <c r="C3506" s="5">
        <v>41489</v>
      </c>
      <c r="D3506" s="5">
        <v>41549</v>
      </c>
      <c r="E3506" s="4" t="s">
        <v>5185</v>
      </c>
      <c r="F3506" s="4" t="s">
        <v>5185</v>
      </c>
    </row>
    <row r="3507" spans="1:6" x14ac:dyDescent="0.25">
      <c r="A3507" s="4" t="str">
        <f>CONCATENATE("3071-0000-0985","")</f>
        <v>3071-0000-0985</v>
      </c>
      <c r="B3507" s="4" t="s">
        <v>2211</v>
      </c>
      <c r="C3507" s="5">
        <v>41489</v>
      </c>
      <c r="D3507" s="5">
        <v>41549</v>
      </c>
      <c r="E3507" s="4" t="s">
        <v>1857</v>
      </c>
      <c r="F3507" s="4" t="s">
        <v>1857</v>
      </c>
    </row>
    <row r="3508" spans="1:6" x14ac:dyDescent="0.25">
      <c r="A3508" s="4" t="str">
        <f>CONCATENATE("3071-0000-5396","")</f>
        <v>3071-0000-5396</v>
      </c>
      <c r="B3508" s="4" t="s">
        <v>6625</v>
      </c>
      <c r="C3508" s="5">
        <v>41489</v>
      </c>
      <c r="D3508" s="5">
        <v>41549</v>
      </c>
      <c r="E3508" s="4" t="s">
        <v>5185</v>
      </c>
      <c r="F3508" s="4" t="s">
        <v>5185</v>
      </c>
    </row>
    <row r="3509" spans="1:6" x14ac:dyDescent="0.25">
      <c r="A3509" s="4" t="str">
        <f>CONCATENATE("3071-0000-5400","")</f>
        <v>3071-0000-5400</v>
      </c>
      <c r="B3509" s="4" t="s">
        <v>6630</v>
      </c>
      <c r="C3509" s="5">
        <v>41489</v>
      </c>
      <c r="D3509" s="5">
        <v>41549</v>
      </c>
      <c r="E3509" s="4" t="s">
        <v>5185</v>
      </c>
      <c r="F3509" s="4" t="s">
        <v>5185</v>
      </c>
    </row>
    <row r="3510" spans="1:6" x14ac:dyDescent="0.25">
      <c r="A3510" s="4" t="str">
        <f>CONCATENATE("3071-0000-5398","")</f>
        <v>3071-0000-5398</v>
      </c>
      <c r="B3510" s="4" t="s">
        <v>6628</v>
      </c>
      <c r="C3510" s="5">
        <v>41489</v>
      </c>
      <c r="D3510" s="5">
        <v>41549</v>
      </c>
      <c r="E3510" s="4" t="s">
        <v>5185</v>
      </c>
      <c r="F3510" s="4" t="s">
        <v>5185</v>
      </c>
    </row>
    <row r="3511" spans="1:6" x14ac:dyDescent="0.25">
      <c r="A3511" s="4" t="str">
        <f>CONCATENATE("3071-0000-4081","")</f>
        <v>3071-0000-4081</v>
      </c>
      <c r="B3511" s="4" t="s">
        <v>4168</v>
      </c>
      <c r="C3511" s="5">
        <v>41489</v>
      </c>
      <c r="D3511" s="5">
        <v>41549</v>
      </c>
      <c r="E3511" s="4" t="s">
        <v>1381</v>
      </c>
      <c r="F3511" s="4" t="s">
        <v>3994</v>
      </c>
    </row>
    <row r="3512" spans="1:6" x14ac:dyDescent="0.25">
      <c r="A3512" s="4" t="str">
        <f>CONCATENATE("3071-0000-6228","")</f>
        <v>3071-0000-6228</v>
      </c>
      <c r="B3512" s="4" t="s">
        <v>7044</v>
      </c>
      <c r="C3512" s="5">
        <v>41489</v>
      </c>
      <c r="D3512" s="5">
        <v>41549</v>
      </c>
      <c r="E3512" s="4" t="s">
        <v>1410</v>
      </c>
      <c r="F3512" s="4" t="s">
        <v>6798</v>
      </c>
    </row>
    <row r="3513" spans="1:6" x14ac:dyDescent="0.25">
      <c r="A3513" s="4" t="str">
        <f>CONCATENATE("3071-0000-2456","")</f>
        <v>3071-0000-2456</v>
      </c>
      <c r="B3513" s="4" t="s">
        <v>3524</v>
      </c>
      <c r="C3513" s="5">
        <v>41489</v>
      </c>
      <c r="D3513" s="5">
        <v>41549</v>
      </c>
      <c r="E3513" s="4" t="s">
        <v>2944</v>
      </c>
      <c r="F3513" s="4" t="s">
        <v>3515</v>
      </c>
    </row>
    <row r="3514" spans="1:6" x14ac:dyDescent="0.25">
      <c r="A3514" s="4" t="str">
        <f>CONCATENATE("3071-0000-2125","")</f>
        <v>3071-0000-2125</v>
      </c>
      <c r="B3514" s="4" t="s">
        <v>3548</v>
      </c>
      <c r="C3514" s="5">
        <v>41489</v>
      </c>
      <c r="D3514" s="5">
        <v>41549</v>
      </c>
      <c r="E3514" s="4" t="s">
        <v>2944</v>
      </c>
      <c r="F3514" s="4" t="s">
        <v>2945</v>
      </c>
    </row>
    <row r="3515" spans="1:6" x14ac:dyDescent="0.25">
      <c r="A3515" s="4" t="str">
        <f>CONCATENATE("3071-0000-5217","")</f>
        <v>3071-0000-5217</v>
      </c>
      <c r="B3515" s="4" t="s">
        <v>6649</v>
      </c>
      <c r="C3515" s="5">
        <v>41489</v>
      </c>
      <c r="D3515" s="5">
        <v>41549</v>
      </c>
      <c r="E3515" s="4" t="s">
        <v>5185</v>
      </c>
      <c r="F3515" s="4" t="s">
        <v>5185</v>
      </c>
    </row>
    <row r="3516" spans="1:6" x14ac:dyDescent="0.25">
      <c r="A3516" s="4" t="str">
        <f>CONCATENATE("3071-0000-4101","")</f>
        <v>3071-0000-4101</v>
      </c>
      <c r="B3516" s="4" t="s">
        <v>4161</v>
      </c>
      <c r="C3516" s="5">
        <v>41489</v>
      </c>
      <c r="D3516" s="5">
        <v>41549</v>
      </c>
      <c r="E3516" s="4" t="s">
        <v>7</v>
      </c>
      <c r="F3516" s="4" t="s">
        <v>1419</v>
      </c>
    </row>
    <row r="3517" spans="1:6" x14ac:dyDescent="0.25">
      <c r="A3517" s="4" t="str">
        <f>CONCATENATE("3071-0000-0782","")</f>
        <v>3071-0000-0782</v>
      </c>
      <c r="B3517" s="4" t="s">
        <v>153</v>
      </c>
      <c r="C3517" s="5">
        <v>41489</v>
      </c>
      <c r="D3517" s="5">
        <v>41549</v>
      </c>
      <c r="E3517" s="4" t="s">
        <v>7</v>
      </c>
      <c r="F3517" s="4" t="s">
        <v>7</v>
      </c>
    </row>
    <row r="3518" spans="1:6" x14ac:dyDescent="0.25">
      <c r="A3518" s="4" t="str">
        <f>CONCATENATE("3071-0000-9127","")</f>
        <v>3071-0000-9127</v>
      </c>
      <c r="B3518" s="4" t="s">
        <v>6253</v>
      </c>
      <c r="C3518" s="5">
        <v>41489</v>
      </c>
      <c r="D3518" s="5">
        <v>41549</v>
      </c>
      <c r="E3518" s="4" t="s">
        <v>5185</v>
      </c>
      <c r="F3518" s="4" t="s">
        <v>5185</v>
      </c>
    </row>
    <row r="3519" spans="1:6" x14ac:dyDescent="0.25">
      <c r="A3519" s="4" t="str">
        <f>CONCATENATE("3071-0000-1138","")</f>
        <v>3071-0000-1138</v>
      </c>
      <c r="B3519" s="4" t="s">
        <v>2205</v>
      </c>
      <c r="C3519" s="5">
        <v>41489</v>
      </c>
      <c r="D3519" s="5">
        <v>41549</v>
      </c>
      <c r="E3519" s="4" t="s">
        <v>1857</v>
      </c>
      <c r="F3519" s="4" t="s">
        <v>2108</v>
      </c>
    </row>
    <row r="3520" spans="1:6" x14ac:dyDescent="0.25">
      <c r="A3520" s="4" t="str">
        <f>CONCATENATE("3071-0000-2721","")</f>
        <v>3071-0000-2721</v>
      </c>
      <c r="B3520" s="4" t="s">
        <v>3155</v>
      </c>
      <c r="C3520" s="5">
        <v>41489</v>
      </c>
      <c r="D3520" s="5">
        <v>41549</v>
      </c>
      <c r="E3520" s="4" t="s">
        <v>2944</v>
      </c>
      <c r="F3520" s="4" t="s">
        <v>3115</v>
      </c>
    </row>
    <row r="3521" spans="1:6" x14ac:dyDescent="0.25">
      <c r="A3521" s="4" t="str">
        <f>CONCATENATE("3071-0000-2830","")</f>
        <v>3071-0000-2830</v>
      </c>
      <c r="B3521" s="4" t="s">
        <v>1087</v>
      </c>
      <c r="C3521" s="5">
        <v>41489</v>
      </c>
      <c r="D3521" s="5">
        <v>41549</v>
      </c>
      <c r="E3521" s="4" t="s">
        <v>7</v>
      </c>
      <c r="F3521" s="4" t="s">
        <v>808</v>
      </c>
    </row>
    <row r="3522" spans="1:6" x14ac:dyDescent="0.25">
      <c r="A3522" s="4" t="str">
        <f>CONCATENATE("3071-0000-6613","")</f>
        <v>3071-0000-6613</v>
      </c>
      <c r="B3522" s="4" t="s">
        <v>7995</v>
      </c>
      <c r="C3522" s="5">
        <v>41489</v>
      </c>
      <c r="D3522" s="5">
        <v>41549</v>
      </c>
      <c r="E3522" s="4" t="s">
        <v>5185</v>
      </c>
      <c r="F3522" s="4" t="s">
        <v>5185</v>
      </c>
    </row>
    <row r="3523" spans="1:6" x14ac:dyDescent="0.25">
      <c r="A3523" s="4" t="str">
        <f>CONCATENATE("3071-0000-3701","")</f>
        <v>3071-0000-3701</v>
      </c>
      <c r="B3523" s="4" t="s">
        <v>1806</v>
      </c>
      <c r="C3523" s="5">
        <v>41489</v>
      </c>
      <c r="D3523" s="5">
        <v>41549</v>
      </c>
      <c r="E3523" s="4" t="s">
        <v>1410</v>
      </c>
      <c r="F3523" s="4" t="s">
        <v>1411</v>
      </c>
    </row>
    <row r="3524" spans="1:6" x14ac:dyDescent="0.25">
      <c r="A3524" s="4" t="str">
        <f>CONCATENATE("3071-0000-3690","")</f>
        <v>3071-0000-3690</v>
      </c>
      <c r="B3524" s="4" t="s">
        <v>1818</v>
      </c>
      <c r="C3524" s="5">
        <v>41489</v>
      </c>
      <c r="D3524" s="5">
        <v>41549</v>
      </c>
      <c r="E3524" s="4" t="s">
        <v>1410</v>
      </c>
      <c r="F3524" s="4" t="s">
        <v>1411</v>
      </c>
    </row>
    <row r="3525" spans="1:6" x14ac:dyDescent="0.25">
      <c r="A3525" s="4" t="str">
        <f>CONCATENATE("3071-0000-6456","")</f>
        <v>3071-0000-6456</v>
      </c>
      <c r="B3525" s="4" t="s">
        <v>8096</v>
      </c>
      <c r="C3525" s="5">
        <v>41489</v>
      </c>
      <c r="D3525" s="5">
        <v>41549</v>
      </c>
      <c r="E3525" s="4" t="s">
        <v>5185</v>
      </c>
      <c r="F3525" s="4" t="s">
        <v>5185</v>
      </c>
    </row>
    <row r="3526" spans="1:6" x14ac:dyDescent="0.25">
      <c r="A3526" s="4" t="str">
        <f>CONCATENATE("3071-0000-5571","")</f>
        <v>3071-0000-5571</v>
      </c>
      <c r="B3526" s="4" t="s">
        <v>6990</v>
      </c>
      <c r="C3526" s="5">
        <v>41489</v>
      </c>
      <c r="D3526" s="5">
        <v>41549</v>
      </c>
      <c r="E3526" s="4" t="s">
        <v>5185</v>
      </c>
      <c r="F3526" s="4" t="s">
        <v>5185</v>
      </c>
    </row>
    <row r="3527" spans="1:6" x14ac:dyDescent="0.25">
      <c r="A3527" s="4" t="str">
        <f>CONCATENATE("3071-0000-2140","")</f>
        <v>3071-0000-2140</v>
      </c>
      <c r="B3527" s="4" t="s">
        <v>3573</v>
      </c>
      <c r="C3527" s="5">
        <v>41489</v>
      </c>
      <c r="D3527" s="5">
        <v>41549</v>
      </c>
      <c r="E3527" s="4" t="s">
        <v>2944</v>
      </c>
      <c r="F3527" s="4" t="s">
        <v>2945</v>
      </c>
    </row>
    <row r="3528" spans="1:6" x14ac:dyDescent="0.25">
      <c r="A3528" s="4" t="str">
        <f>CONCATENATE("3071-0000-3267","")</f>
        <v>3071-0000-3267</v>
      </c>
      <c r="B3528" s="4" t="s">
        <v>1235</v>
      </c>
      <c r="C3528" s="5">
        <v>41489</v>
      </c>
      <c r="D3528" s="5">
        <v>41549</v>
      </c>
      <c r="E3528" s="4" t="s">
        <v>7</v>
      </c>
      <c r="F3528" s="4" t="s">
        <v>808</v>
      </c>
    </row>
    <row r="3529" spans="1:6" x14ac:dyDescent="0.25">
      <c r="A3529" s="4" t="str">
        <f>CONCATENATE("3071-0000-5309","")</f>
        <v>3071-0000-5309</v>
      </c>
      <c r="B3529" s="4" t="s">
        <v>6800</v>
      </c>
      <c r="C3529" s="5">
        <v>41489</v>
      </c>
      <c r="D3529" s="5">
        <v>41549</v>
      </c>
      <c r="E3529" s="4" t="s">
        <v>5185</v>
      </c>
      <c r="F3529" s="4" t="s">
        <v>5185</v>
      </c>
    </row>
    <row r="3530" spans="1:6" x14ac:dyDescent="0.25">
      <c r="A3530" s="4" t="str">
        <f>CONCATENATE("3071-0000-5768","")</f>
        <v>3071-0000-5768</v>
      </c>
      <c r="B3530" s="4" t="s">
        <v>7025</v>
      </c>
      <c r="C3530" s="5">
        <v>41489</v>
      </c>
      <c r="D3530" s="5">
        <v>41549</v>
      </c>
      <c r="E3530" s="4" t="s">
        <v>5185</v>
      </c>
      <c r="F3530" s="4" t="s">
        <v>5185</v>
      </c>
    </row>
    <row r="3531" spans="1:6" x14ac:dyDescent="0.25">
      <c r="A3531" s="4" t="str">
        <f>CONCATENATE("3071-0000-5311","")</f>
        <v>3071-0000-5311</v>
      </c>
      <c r="B3531" s="4" t="s">
        <v>6802</v>
      </c>
      <c r="C3531" s="5">
        <v>41489</v>
      </c>
      <c r="D3531" s="5">
        <v>41549</v>
      </c>
      <c r="E3531" s="4" t="s">
        <v>5185</v>
      </c>
      <c r="F3531" s="4" t="s">
        <v>5185</v>
      </c>
    </row>
    <row r="3532" spans="1:6" x14ac:dyDescent="0.25">
      <c r="A3532" s="4" t="str">
        <f>CONCATENATE("3071-0000-0362","")</f>
        <v>3071-0000-0362</v>
      </c>
      <c r="B3532" s="4" t="s">
        <v>177</v>
      </c>
      <c r="C3532" s="5">
        <v>41489</v>
      </c>
      <c r="D3532" s="5">
        <v>41549</v>
      </c>
      <c r="E3532" s="4" t="s">
        <v>7</v>
      </c>
      <c r="F3532" s="4" t="s">
        <v>7</v>
      </c>
    </row>
    <row r="3533" spans="1:6" x14ac:dyDescent="0.25">
      <c r="A3533" s="4" t="str">
        <f>CONCATENATE("3071-0000-3694","")</f>
        <v>3071-0000-3694</v>
      </c>
      <c r="B3533" s="4" t="s">
        <v>1808</v>
      </c>
      <c r="C3533" s="5">
        <v>41489</v>
      </c>
      <c r="D3533" s="5">
        <v>41549</v>
      </c>
      <c r="E3533" s="4" t="s">
        <v>1410</v>
      </c>
      <c r="F3533" s="4" t="s">
        <v>1411</v>
      </c>
    </row>
    <row r="3534" spans="1:6" x14ac:dyDescent="0.25">
      <c r="A3534" s="4" t="str">
        <f>CONCATENATE("3071-0000-2278","")</f>
        <v>3071-0000-2278</v>
      </c>
      <c r="B3534" s="4" t="s">
        <v>3803</v>
      </c>
      <c r="C3534" s="5">
        <v>41489</v>
      </c>
      <c r="D3534" s="5">
        <v>41549</v>
      </c>
      <c r="E3534" s="4" t="s">
        <v>2944</v>
      </c>
      <c r="F3534" s="4" t="s">
        <v>2945</v>
      </c>
    </row>
    <row r="3535" spans="1:6" x14ac:dyDescent="0.25">
      <c r="A3535" s="4" t="str">
        <f>CONCATENATE("3071-0000-7552","")</f>
        <v>3071-0000-7552</v>
      </c>
      <c r="B3535" s="4" t="s">
        <v>4294</v>
      </c>
      <c r="C3535" s="5">
        <v>41489</v>
      </c>
      <c r="D3535" s="5">
        <v>41549</v>
      </c>
      <c r="E3535" s="4" t="s">
        <v>1410</v>
      </c>
      <c r="F3535" s="4" t="s">
        <v>1410</v>
      </c>
    </row>
    <row r="3536" spans="1:6" x14ac:dyDescent="0.25">
      <c r="A3536" s="4" t="str">
        <f>CONCATENATE("3071-0000-8399","")</f>
        <v>3071-0000-8399</v>
      </c>
      <c r="B3536" s="4" t="s">
        <v>5647</v>
      </c>
      <c r="C3536" s="5">
        <v>41489</v>
      </c>
      <c r="D3536" s="5">
        <v>41549</v>
      </c>
      <c r="E3536" s="4" t="s">
        <v>5185</v>
      </c>
      <c r="F3536" s="4" t="s">
        <v>5185</v>
      </c>
    </row>
    <row r="3537" spans="1:6" x14ac:dyDescent="0.25">
      <c r="A3537" s="4" t="str">
        <f>CONCATENATE("3071-0000-0467","")</f>
        <v>3071-0000-0467</v>
      </c>
      <c r="B3537" s="4" t="s">
        <v>502</v>
      </c>
      <c r="C3537" s="5">
        <v>41489</v>
      </c>
      <c r="D3537" s="5">
        <v>41549</v>
      </c>
      <c r="E3537" s="4" t="s">
        <v>7</v>
      </c>
      <c r="F3537" s="4" t="s">
        <v>7</v>
      </c>
    </row>
    <row r="3538" spans="1:6" x14ac:dyDescent="0.25">
      <c r="A3538" s="4" t="str">
        <f>CONCATENATE("3071-0000-0990","")</f>
        <v>3071-0000-0990</v>
      </c>
      <c r="B3538" s="4" t="s">
        <v>2203</v>
      </c>
      <c r="C3538" s="5">
        <v>41489</v>
      </c>
      <c r="D3538" s="5">
        <v>41549</v>
      </c>
      <c r="E3538" s="4" t="s">
        <v>1857</v>
      </c>
      <c r="F3538" s="4" t="s">
        <v>1857</v>
      </c>
    </row>
    <row r="3539" spans="1:6" x14ac:dyDescent="0.25">
      <c r="A3539" s="4" t="str">
        <f>CONCATENATE("3071-0000-3573","")</f>
        <v>3071-0000-3573</v>
      </c>
      <c r="B3539" s="4" t="s">
        <v>1708</v>
      </c>
      <c r="C3539" s="5">
        <v>41489</v>
      </c>
      <c r="D3539" s="5">
        <v>41549</v>
      </c>
      <c r="E3539" s="4" t="s">
        <v>1410</v>
      </c>
      <c r="F3539" s="4" t="s">
        <v>1411</v>
      </c>
    </row>
    <row r="3540" spans="1:6" x14ac:dyDescent="0.25">
      <c r="A3540" s="4" t="str">
        <f>CONCATENATE("3071-0000-8945","")</f>
        <v>3071-0000-8945</v>
      </c>
      <c r="B3540" s="4" t="s">
        <v>6275</v>
      </c>
      <c r="C3540" s="5">
        <v>41489</v>
      </c>
      <c r="D3540" s="5">
        <v>41549</v>
      </c>
      <c r="E3540" s="4" t="s">
        <v>5185</v>
      </c>
      <c r="F3540" s="4" t="s">
        <v>6181</v>
      </c>
    </row>
    <row r="3541" spans="1:6" x14ac:dyDescent="0.25">
      <c r="A3541" s="4" t="str">
        <f>CONCATENATE("3071-0000-5155","")</f>
        <v>3071-0000-5155</v>
      </c>
      <c r="B3541" s="4" t="s">
        <v>8993</v>
      </c>
      <c r="C3541" s="5">
        <v>41489</v>
      </c>
      <c r="D3541" s="5">
        <v>41549</v>
      </c>
      <c r="E3541" s="4" t="s">
        <v>1410</v>
      </c>
      <c r="F3541" s="4" t="s">
        <v>8903</v>
      </c>
    </row>
    <row r="3542" spans="1:6" x14ac:dyDescent="0.25">
      <c r="A3542" s="4" t="str">
        <f>CONCATENATE("3071-0000-5409","")</f>
        <v>3071-0000-5409</v>
      </c>
      <c r="B3542" s="4" t="s">
        <v>6618</v>
      </c>
      <c r="C3542" s="5">
        <v>41489</v>
      </c>
      <c r="D3542" s="5">
        <v>41549</v>
      </c>
      <c r="E3542" s="4" t="s">
        <v>5185</v>
      </c>
      <c r="F3542" s="4" t="s">
        <v>5185</v>
      </c>
    </row>
    <row r="3543" spans="1:6" x14ac:dyDescent="0.25">
      <c r="A3543" s="4" t="str">
        <f>CONCATENATE("3071-0000-4025","")</f>
        <v>3071-0000-4025</v>
      </c>
      <c r="B3543" s="4" t="s">
        <v>4233</v>
      </c>
      <c r="C3543" s="5">
        <v>41489</v>
      </c>
      <c r="D3543" s="5">
        <v>41549</v>
      </c>
      <c r="E3543" s="4" t="s">
        <v>7</v>
      </c>
      <c r="F3543" s="4" t="s">
        <v>1419</v>
      </c>
    </row>
    <row r="3544" spans="1:6" x14ac:dyDescent="0.25">
      <c r="A3544" s="4" t="str">
        <f>CONCATENATE("3071-0000-7174","")</f>
        <v>3071-0000-7174</v>
      </c>
      <c r="B3544" s="4" t="s">
        <v>5077</v>
      </c>
      <c r="C3544" s="5">
        <v>41489</v>
      </c>
      <c r="D3544" s="5">
        <v>41549</v>
      </c>
      <c r="E3544" s="4" t="s">
        <v>1410</v>
      </c>
      <c r="F3544" s="4" t="s">
        <v>1410</v>
      </c>
    </row>
    <row r="3545" spans="1:6" x14ac:dyDescent="0.25">
      <c r="A3545" s="4" t="str">
        <f>CONCATENATE("3071-0000-0697","")</f>
        <v>3071-0000-0697</v>
      </c>
      <c r="B3545" s="4" t="s">
        <v>613</v>
      </c>
      <c r="C3545" s="5">
        <v>41489</v>
      </c>
      <c r="D3545" s="5">
        <v>41549</v>
      </c>
      <c r="E3545" s="4" t="s">
        <v>7</v>
      </c>
      <c r="F3545" s="4" t="s">
        <v>7</v>
      </c>
    </row>
    <row r="3546" spans="1:6" x14ac:dyDescent="0.25">
      <c r="A3546" s="4" t="str">
        <f>CONCATENATE("3071-0000-5031","")</f>
        <v>3071-0000-5031</v>
      </c>
      <c r="B3546" s="4" t="s">
        <v>8847</v>
      </c>
      <c r="C3546" s="5">
        <v>41489</v>
      </c>
      <c r="D3546" s="5">
        <v>41549</v>
      </c>
      <c r="E3546" s="4" t="s">
        <v>1410</v>
      </c>
      <c r="F3546" s="4" t="s">
        <v>5258</v>
      </c>
    </row>
    <row r="3547" spans="1:6" x14ac:dyDescent="0.25">
      <c r="A3547" s="4" t="str">
        <f>CONCATENATE("3071-0000-5523","")</f>
        <v>3071-0000-5523</v>
      </c>
      <c r="B3547" s="4" t="s">
        <v>6803</v>
      </c>
      <c r="C3547" s="5">
        <v>41489</v>
      </c>
      <c r="D3547" s="5">
        <v>41549</v>
      </c>
      <c r="E3547" s="4" t="s">
        <v>1410</v>
      </c>
      <c r="F3547" s="4" t="s">
        <v>6635</v>
      </c>
    </row>
    <row r="3548" spans="1:6" x14ac:dyDescent="0.25">
      <c r="A3548" s="4" t="str">
        <f>CONCATENATE("3071-0000-5315","")</f>
        <v>3071-0000-5315</v>
      </c>
      <c r="B3548" s="4" t="s">
        <v>6807</v>
      </c>
      <c r="C3548" s="5">
        <v>41489</v>
      </c>
      <c r="D3548" s="5">
        <v>41549</v>
      </c>
      <c r="E3548" s="4" t="s">
        <v>5185</v>
      </c>
      <c r="F3548" s="4" t="s">
        <v>5185</v>
      </c>
    </row>
    <row r="3549" spans="1:6" x14ac:dyDescent="0.25">
      <c r="A3549" s="4" t="str">
        <f>CONCATENATE("3071-0000-2123","")</f>
        <v>3071-0000-2123</v>
      </c>
      <c r="B3549" s="4" t="s">
        <v>3519</v>
      </c>
      <c r="C3549" s="5">
        <v>41489</v>
      </c>
      <c r="D3549" s="5">
        <v>41549</v>
      </c>
      <c r="E3549" s="4" t="s">
        <v>2944</v>
      </c>
      <c r="F3549" s="4" t="s">
        <v>2945</v>
      </c>
    </row>
    <row r="3550" spans="1:6" x14ac:dyDescent="0.25">
      <c r="A3550" s="4" t="str">
        <f>CONCATENATE("3071-0000-2129","")</f>
        <v>3071-0000-2129</v>
      </c>
      <c r="B3550" s="4" t="s">
        <v>3549</v>
      </c>
      <c r="C3550" s="5">
        <v>41489</v>
      </c>
      <c r="D3550" s="5">
        <v>41549</v>
      </c>
      <c r="E3550" s="4" t="s">
        <v>2944</v>
      </c>
      <c r="F3550" s="4" t="s">
        <v>2945</v>
      </c>
    </row>
    <row r="3551" spans="1:6" x14ac:dyDescent="0.25">
      <c r="A3551" s="4" t="str">
        <f>CONCATENATE("3071-0000-6386","")</f>
        <v>3071-0000-6386</v>
      </c>
      <c r="B3551" s="4" t="s">
        <v>7826</v>
      </c>
      <c r="C3551" s="5">
        <v>41489</v>
      </c>
      <c r="D3551" s="5">
        <v>41549</v>
      </c>
      <c r="E3551" s="4" t="s">
        <v>5185</v>
      </c>
      <c r="F3551" s="4" t="s">
        <v>5185</v>
      </c>
    </row>
    <row r="3552" spans="1:6" x14ac:dyDescent="0.25">
      <c r="A3552" s="4" t="str">
        <f>CONCATENATE("3071-0000-4991","")</f>
        <v>3071-0000-4991</v>
      </c>
      <c r="B3552" s="4" t="s">
        <v>9675</v>
      </c>
      <c r="C3552" s="5">
        <v>41489</v>
      </c>
      <c r="D3552" s="5">
        <v>41549</v>
      </c>
      <c r="E3552" s="4" t="s">
        <v>7069</v>
      </c>
      <c r="F3552" s="4" t="s">
        <v>9554</v>
      </c>
    </row>
    <row r="3553" spans="1:6" x14ac:dyDescent="0.25">
      <c r="A3553" s="4" t="str">
        <f>CONCATENATE("3071-0000-6444","")</f>
        <v>3071-0000-6444</v>
      </c>
      <c r="B3553" s="4" t="s">
        <v>8083</v>
      </c>
      <c r="C3553" s="5">
        <v>41489</v>
      </c>
      <c r="D3553" s="5">
        <v>41549</v>
      </c>
      <c r="E3553" s="4" t="s">
        <v>5185</v>
      </c>
      <c r="F3553" s="4" t="s">
        <v>5185</v>
      </c>
    </row>
    <row r="3554" spans="1:6" x14ac:dyDescent="0.25">
      <c r="A3554" s="4" t="str">
        <f>CONCATENATE("3071-0000-5276","")</f>
        <v>3071-0000-5276</v>
      </c>
      <c r="B3554" s="4" t="s">
        <v>6779</v>
      </c>
      <c r="C3554" s="5">
        <v>41489</v>
      </c>
      <c r="D3554" s="5">
        <v>41549</v>
      </c>
      <c r="E3554" s="4" t="s">
        <v>5185</v>
      </c>
      <c r="F3554" s="4" t="s">
        <v>5185</v>
      </c>
    </row>
    <row r="3555" spans="1:6" x14ac:dyDescent="0.25">
      <c r="A3555" s="4" t="str">
        <f>CONCATENATE("3071-0000-7595","")</f>
        <v>3071-0000-7595</v>
      </c>
      <c r="B3555" s="4" t="s">
        <v>5068</v>
      </c>
      <c r="C3555" s="5">
        <v>41489</v>
      </c>
      <c r="D3555" s="5">
        <v>41549</v>
      </c>
      <c r="E3555" s="4" t="s">
        <v>1410</v>
      </c>
      <c r="F3555" s="4" t="s">
        <v>4616</v>
      </c>
    </row>
    <row r="3556" spans="1:6" x14ac:dyDescent="0.25">
      <c r="A3556" s="4" t="str">
        <f>CONCATENATE("3071-0000-5273","")</f>
        <v>3071-0000-5273</v>
      </c>
      <c r="B3556" s="4" t="s">
        <v>6743</v>
      </c>
      <c r="C3556" s="5">
        <v>41489</v>
      </c>
      <c r="D3556" s="5">
        <v>41549</v>
      </c>
      <c r="E3556" s="4" t="s">
        <v>5185</v>
      </c>
      <c r="F3556" s="4" t="s">
        <v>5185</v>
      </c>
    </row>
    <row r="3557" spans="1:6" x14ac:dyDescent="0.25">
      <c r="A3557" s="4" t="str">
        <f>CONCATENATE("3071-0000-8440","")</f>
        <v>3071-0000-8440</v>
      </c>
      <c r="B3557" s="4" t="s">
        <v>5312</v>
      </c>
      <c r="C3557" s="5">
        <v>41489</v>
      </c>
      <c r="D3557" s="5">
        <v>41549</v>
      </c>
      <c r="E3557" s="4" t="s">
        <v>1410</v>
      </c>
      <c r="F3557" s="4" t="s">
        <v>4616</v>
      </c>
    </row>
    <row r="3558" spans="1:6" x14ac:dyDescent="0.25">
      <c r="A3558" s="4" t="str">
        <f>CONCATENATE("3071-0000-2458","")</f>
        <v>3071-0000-2458</v>
      </c>
      <c r="B3558" s="4" t="s">
        <v>3561</v>
      </c>
      <c r="C3558" s="5">
        <v>41489</v>
      </c>
      <c r="D3558" s="5">
        <v>41549</v>
      </c>
      <c r="E3558" s="4" t="s">
        <v>2944</v>
      </c>
      <c r="F3558" s="4" t="s">
        <v>3515</v>
      </c>
    </row>
    <row r="3559" spans="1:6" x14ac:dyDescent="0.25">
      <c r="A3559" s="4" t="str">
        <f>CONCATENATE("3071-0000-2326","")</f>
        <v>3071-0000-2326</v>
      </c>
      <c r="B3559" s="4" t="s">
        <v>3152</v>
      </c>
      <c r="C3559" s="5">
        <v>41489</v>
      </c>
      <c r="D3559" s="5">
        <v>41549</v>
      </c>
      <c r="E3559" s="4" t="s">
        <v>2944</v>
      </c>
      <c r="F3559" s="4" t="s">
        <v>2945</v>
      </c>
    </row>
    <row r="3560" spans="1:6" x14ac:dyDescent="0.25">
      <c r="A3560" s="4" t="str">
        <f>CONCATENATE("3071-0000-8192","")</f>
        <v>3071-0000-8192</v>
      </c>
      <c r="B3560" s="4" t="s">
        <v>5967</v>
      </c>
      <c r="C3560" s="5">
        <v>41489</v>
      </c>
      <c r="D3560" s="5">
        <v>41549</v>
      </c>
      <c r="E3560" s="4" t="s">
        <v>5185</v>
      </c>
      <c r="F3560" s="4" t="s">
        <v>5185</v>
      </c>
    </row>
    <row r="3561" spans="1:6" x14ac:dyDescent="0.25">
      <c r="A3561" s="4" t="str">
        <f>CONCATENATE("3071-0000-1509","")</f>
        <v>3071-0000-1509</v>
      </c>
      <c r="B3561" s="4" t="s">
        <v>2832</v>
      </c>
      <c r="C3561" s="5">
        <v>41489</v>
      </c>
      <c r="D3561" s="5">
        <v>41549</v>
      </c>
      <c r="E3561" s="4" t="s">
        <v>1381</v>
      </c>
      <c r="F3561" s="4" t="s">
        <v>2303</v>
      </c>
    </row>
    <row r="3562" spans="1:6" x14ac:dyDescent="0.25">
      <c r="A3562" s="4" t="str">
        <f>CONCATENATE("3071-0000-6985","")</f>
        <v>3071-0000-6985</v>
      </c>
      <c r="B3562" s="4" t="s">
        <v>4429</v>
      </c>
      <c r="C3562" s="5">
        <v>41489</v>
      </c>
      <c r="D3562" s="5">
        <v>41549</v>
      </c>
      <c r="E3562" s="4" t="s">
        <v>1410</v>
      </c>
      <c r="F3562" s="4" t="s">
        <v>1410</v>
      </c>
    </row>
    <row r="3563" spans="1:6" x14ac:dyDescent="0.25">
      <c r="A3563" s="4" t="str">
        <f>CONCATENATE("3071-0000-6401","")</f>
        <v>3071-0000-6401</v>
      </c>
      <c r="B3563" s="4" t="s">
        <v>7832</v>
      </c>
      <c r="C3563" s="5">
        <v>41489</v>
      </c>
      <c r="D3563" s="5">
        <v>41549</v>
      </c>
      <c r="E3563" s="4" t="s">
        <v>5185</v>
      </c>
      <c r="F3563" s="4" t="s">
        <v>5185</v>
      </c>
    </row>
    <row r="3564" spans="1:6" x14ac:dyDescent="0.25">
      <c r="A3564" s="4" t="str">
        <f>CONCATENATE("3071-0000-9105","")</f>
        <v>3071-0000-9105</v>
      </c>
      <c r="B3564" s="4" t="s">
        <v>5288</v>
      </c>
      <c r="C3564" s="5">
        <v>41489</v>
      </c>
      <c r="D3564" s="5">
        <v>41549</v>
      </c>
      <c r="E3564" s="4" t="s">
        <v>5185</v>
      </c>
      <c r="F3564" s="4" t="s">
        <v>5185</v>
      </c>
    </row>
    <row r="3565" spans="1:6" x14ac:dyDescent="0.25">
      <c r="A3565" s="4" t="str">
        <f>CONCATENATE("3071-0000-5459","")</f>
        <v>3071-0000-5459</v>
      </c>
      <c r="B3565" s="4" t="s">
        <v>6726</v>
      </c>
      <c r="C3565" s="5">
        <v>41489</v>
      </c>
      <c r="D3565" s="5">
        <v>41549</v>
      </c>
      <c r="E3565" s="4" t="s">
        <v>5185</v>
      </c>
      <c r="F3565" s="4" t="s">
        <v>5185</v>
      </c>
    </row>
    <row r="3566" spans="1:6" x14ac:dyDescent="0.25">
      <c r="A3566" s="4" t="str">
        <f>CONCATENATE("3071-0000-4804","")</f>
        <v>3071-0000-4804</v>
      </c>
      <c r="B3566" s="4" t="s">
        <v>9325</v>
      </c>
      <c r="C3566" s="5">
        <v>41489</v>
      </c>
      <c r="D3566" s="5">
        <v>41549</v>
      </c>
      <c r="E3566" s="4" t="s">
        <v>1410</v>
      </c>
      <c r="F3566" s="4" t="s">
        <v>8696</v>
      </c>
    </row>
    <row r="3567" spans="1:6" x14ac:dyDescent="0.25">
      <c r="A3567" s="4" t="str">
        <f>CONCATENATE("3071-0000-3499","")</f>
        <v>3071-0000-3499</v>
      </c>
      <c r="B3567" s="4" t="s">
        <v>1798</v>
      </c>
      <c r="C3567" s="5">
        <v>41489</v>
      </c>
      <c r="D3567" s="5">
        <v>41549</v>
      </c>
      <c r="E3567" s="4" t="s">
        <v>1410</v>
      </c>
      <c r="F3567" s="4" t="s">
        <v>1411</v>
      </c>
    </row>
    <row r="3568" spans="1:6" x14ac:dyDescent="0.25">
      <c r="A3568" s="4" t="str">
        <f>CONCATENATE("3071-0000-8589","")</f>
        <v>3071-0000-8589</v>
      </c>
      <c r="B3568" s="4" t="s">
        <v>5455</v>
      </c>
      <c r="C3568" s="5">
        <v>41489</v>
      </c>
      <c r="D3568" s="5">
        <v>41549</v>
      </c>
      <c r="E3568" s="4" t="s">
        <v>1410</v>
      </c>
      <c r="F3568" s="4" t="s">
        <v>4616</v>
      </c>
    </row>
    <row r="3569" spans="1:6" x14ac:dyDescent="0.25">
      <c r="A3569" s="4" t="str">
        <f>CONCATENATE("3071-0000-6777","")</f>
        <v>3071-0000-6777</v>
      </c>
      <c r="B3569" s="4" t="s">
        <v>7746</v>
      </c>
      <c r="C3569" s="5">
        <v>41489</v>
      </c>
      <c r="D3569" s="5">
        <v>41549</v>
      </c>
      <c r="E3569" s="4" t="s">
        <v>1410</v>
      </c>
      <c r="F3569" s="4" t="s">
        <v>4655</v>
      </c>
    </row>
    <row r="3570" spans="1:6" x14ac:dyDescent="0.25">
      <c r="A3570" s="4" t="str">
        <f>CONCATENATE("3071-0000-2302","")</f>
        <v>3071-0000-2302</v>
      </c>
      <c r="B3570" s="4" t="s">
        <v>3449</v>
      </c>
      <c r="C3570" s="5">
        <v>41489</v>
      </c>
      <c r="D3570" s="5">
        <v>41549</v>
      </c>
      <c r="E3570" s="4" t="s">
        <v>2944</v>
      </c>
      <c r="F3570" s="4" t="s">
        <v>2945</v>
      </c>
    </row>
    <row r="3571" spans="1:6" x14ac:dyDescent="0.25">
      <c r="A3571" s="4" t="str">
        <f>CONCATENATE("3071-0000-3482","")</f>
        <v>3071-0000-3482</v>
      </c>
      <c r="B3571" s="4" t="s">
        <v>1775</v>
      </c>
      <c r="C3571" s="5">
        <v>41489</v>
      </c>
      <c r="D3571" s="5">
        <v>41549</v>
      </c>
      <c r="E3571" s="4" t="s">
        <v>1410</v>
      </c>
      <c r="F3571" s="4" t="s">
        <v>1411</v>
      </c>
    </row>
    <row r="3572" spans="1:6" x14ac:dyDescent="0.25">
      <c r="A3572" s="4" t="str">
        <f>CONCATENATE("3071-0000-2133","")</f>
        <v>3071-0000-2133</v>
      </c>
      <c r="B3572" s="4" t="s">
        <v>3525</v>
      </c>
      <c r="C3572" s="5">
        <v>41489</v>
      </c>
      <c r="D3572" s="5">
        <v>41549</v>
      </c>
      <c r="E3572" s="4" t="s">
        <v>2944</v>
      </c>
      <c r="F3572" s="4" t="s">
        <v>2945</v>
      </c>
    </row>
    <row r="3573" spans="1:6" x14ac:dyDescent="0.25">
      <c r="A3573" s="4" t="str">
        <f>CONCATENATE("3071-0000-3387","")</f>
        <v>3071-0000-3387</v>
      </c>
      <c r="B3573" s="4" t="s">
        <v>1532</v>
      </c>
      <c r="C3573" s="5">
        <v>41489</v>
      </c>
      <c r="D3573" s="5">
        <v>41549</v>
      </c>
      <c r="E3573" s="4" t="s">
        <v>1410</v>
      </c>
      <c r="F3573" s="4" t="s">
        <v>1411</v>
      </c>
    </row>
    <row r="3574" spans="1:6" x14ac:dyDescent="0.25">
      <c r="A3574" s="4" t="str">
        <f>CONCATENATE("3071-0000-3144","")</f>
        <v>3071-0000-3144</v>
      </c>
      <c r="B3574" s="4" t="s">
        <v>1260</v>
      </c>
      <c r="C3574" s="5">
        <v>41489</v>
      </c>
      <c r="D3574" s="5">
        <v>41549</v>
      </c>
      <c r="E3574" s="4" t="s">
        <v>7</v>
      </c>
      <c r="F3574" s="4" t="s">
        <v>808</v>
      </c>
    </row>
    <row r="3575" spans="1:6" x14ac:dyDescent="0.25">
      <c r="A3575" s="4" t="str">
        <f>CONCATENATE("3071-0000-2865","")</f>
        <v>3071-0000-2865</v>
      </c>
      <c r="B3575" s="4" t="s">
        <v>1383</v>
      </c>
      <c r="C3575" s="5">
        <v>41489</v>
      </c>
      <c r="D3575" s="5">
        <v>41549</v>
      </c>
      <c r="E3575" s="4" t="s">
        <v>7</v>
      </c>
      <c r="F3575" s="4" t="s">
        <v>808</v>
      </c>
    </row>
    <row r="3576" spans="1:6" x14ac:dyDescent="0.25">
      <c r="A3576" s="4" t="str">
        <f>CONCATENATE("3071-0000-2124","")</f>
        <v>3071-0000-2124</v>
      </c>
      <c r="B3576" s="4" t="s">
        <v>3557</v>
      </c>
      <c r="C3576" s="5">
        <v>41489</v>
      </c>
      <c r="D3576" s="5">
        <v>41549</v>
      </c>
      <c r="E3576" s="4" t="s">
        <v>2944</v>
      </c>
      <c r="F3576" s="4" t="s">
        <v>2945</v>
      </c>
    </row>
    <row r="3577" spans="1:6" x14ac:dyDescent="0.25">
      <c r="A3577" s="4" t="str">
        <f>CONCATENATE("3071-0000-1835","")</f>
        <v>3071-0000-1835</v>
      </c>
      <c r="B3577" s="4" t="s">
        <v>2770</v>
      </c>
      <c r="C3577" s="5">
        <v>41489</v>
      </c>
      <c r="D3577" s="5">
        <v>41549</v>
      </c>
      <c r="E3577" s="4" t="s">
        <v>1381</v>
      </c>
      <c r="F3577" s="4" t="s">
        <v>1382</v>
      </c>
    </row>
    <row r="3578" spans="1:6" x14ac:dyDescent="0.25">
      <c r="A3578" s="4" t="str">
        <f>CONCATENATE("3071-0000-0374","")</f>
        <v>3071-0000-0374</v>
      </c>
      <c r="B3578" s="4" t="s">
        <v>610</v>
      </c>
      <c r="C3578" s="5">
        <v>41489</v>
      </c>
      <c r="D3578" s="5">
        <v>41549</v>
      </c>
      <c r="E3578" s="4" t="s">
        <v>7</v>
      </c>
      <c r="F3578" s="4" t="s">
        <v>7</v>
      </c>
    </row>
    <row r="3579" spans="1:6" x14ac:dyDescent="0.25">
      <c r="A3579" s="4" t="str">
        <f>CONCATENATE("3071-0000-5436","")</f>
        <v>3071-0000-5436</v>
      </c>
      <c r="B3579" s="4" t="s">
        <v>6905</v>
      </c>
      <c r="C3579" s="5">
        <v>41489</v>
      </c>
      <c r="D3579" s="5">
        <v>41549</v>
      </c>
      <c r="E3579" s="4" t="s">
        <v>5185</v>
      </c>
      <c r="F3579" s="4" t="s">
        <v>5185</v>
      </c>
    </row>
    <row r="3580" spans="1:6" x14ac:dyDescent="0.25">
      <c r="A3580" s="4" t="str">
        <f>CONCATENATE("3071-0000-2189","")</f>
        <v>3071-0000-2189</v>
      </c>
      <c r="B3580" s="4" t="s">
        <v>3677</v>
      </c>
      <c r="C3580" s="5">
        <v>41489</v>
      </c>
      <c r="D3580" s="5">
        <v>41549</v>
      </c>
      <c r="E3580" s="4" t="s">
        <v>2944</v>
      </c>
      <c r="F3580" s="4" t="s">
        <v>2945</v>
      </c>
    </row>
    <row r="3581" spans="1:6" x14ac:dyDescent="0.25">
      <c r="A3581" s="4" t="str">
        <f>CONCATENATE("3071-0000-5358","")</f>
        <v>3071-0000-5358</v>
      </c>
      <c r="B3581" s="4" t="s">
        <v>6860</v>
      </c>
      <c r="C3581" s="5">
        <v>41489</v>
      </c>
      <c r="D3581" s="5">
        <v>41549</v>
      </c>
      <c r="E3581" s="4" t="s">
        <v>5185</v>
      </c>
      <c r="F3581" s="4" t="s">
        <v>5185</v>
      </c>
    </row>
    <row r="3582" spans="1:6" x14ac:dyDescent="0.25">
      <c r="A3582" s="4" t="str">
        <f>CONCATENATE("3071-0000-1434","")</f>
        <v>3071-0000-1434</v>
      </c>
      <c r="B3582" s="4" t="s">
        <v>2664</v>
      </c>
      <c r="C3582" s="5">
        <v>41489</v>
      </c>
      <c r="D3582" s="5">
        <v>41549</v>
      </c>
      <c r="E3582" s="4" t="s">
        <v>1381</v>
      </c>
      <c r="F3582" s="4" t="s">
        <v>2303</v>
      </c>
    </row>
    <row r="3583" spans="1:6" x14ac:dyDescent="0.25">
      <c r="A3583" s="4" t="str">
        <f>CONCATENATE("3071-0000-1436","")</f>
        <v>3071-0000-1436</v>
      </c>
      <c r="B3583" s="4" t="s">
        <v>2671</v>
      </c>
      <c r="C3583" s="5">
        <v>41489</v>
      </c>
      <c r="D3583" s="5">
        <v>41549</v>
      </c>
      <c r="E3583" s="4" t="s">
        <v>1381</v>
      </c>
      <c r="F3583" s="4" t="s">
        <v>2303</v>
      </c>
    </row>
    <row r="3584" spans="1:6" x14ac:dyDescent="0.25">
      <c r="A3584" s="4" t="str">
        <f>CONCATENATE("3071-0000-4474","")</f>
        <v>3071-0000-4474</v>
      </c>
      <c r="B3584" s="4" t="s">
        <v>9364</v>
      </c>
      <c r="C3584" s="5">
        <v>41489</v>
      </c>
      <c r="D3584" s="5">
        <v>41549</v>
      </c>
      <c r="E3584" s="4" t="s">
        <v>1410</v>
      </c>
      <c r="F3584" s="4" t="s">
        <v>8696</v>
      </c>
    </row>
    <row r="3585" spans="1:6" x14ac:dyDescent="0.25">
      <c r="A3585" s="4" t="str">
        <f>CONCATENATE("3071-0000-8892","")</f>
        <v>3071-0000-8892</v>
      </c>
      <c r="B3585" s="4" t="s">
        <v>5316</v>
      </c>
      <c r="C3585" s="5">
        <v>41489</v>
      </c>
      <c r="D3585" s="5">
        <v>41549</v>
      </c>
      <c r="E3585" s="4" t="s">
        <v>1410</v>
      </c>
      <c r="F3585" s="4" t="s">
        <v>4616</v>
      </c>
    </row>
    <row r="3586" spans="1:6" x14ac:dyDescent="0.25">
      <c r="A3586" s="4" t="str">
        <f>CONCATENATE("3071-0000-9200","")</f>
        <v>3071-0000-9200</v>
      </c>
      <c r="B3586" s="4" t="s">
        <v>6431</v>
      </c>
      <c r="C3586" s="5">
        <v>41489</v>
      </c>
      <c r="D3586" s="5">
        <v>41549</v>
      </c>
      <c r="E3586" s="4" t="s">
        <v>5185</v>
      </c>
      <c r="F3586" s="4" t="s">
        <v>5292</v>
      </c>
    </row>
    <row r="3587" spans="1:6" x14ac:dyDescent="0.25">
      <c r="A3587" s="4" t="str">
        <f>CONCATENATE("3071-0000-8771","")</f>
        <v>3071-0000-8771</v>
      </c>
      <c r="B3587" s="4" t="s">
        <v>6382</v>
      </c>
      <c r="C3587" s="5">
        <v>41489</v>
      </c>
      <c r="D3587" s="5">
        <v>41549</v>
      </c>
      <c r="E3587" s="4" t="s">
        <v>5185</v>
      </c>
      <c r="F3587" s="4" t="s">
        <v>5292</v>
      </c>
    </row>
    <row r="3588" spans="1:6" x14ac:dyDescent="0.25">
      <c r="A3588" s="4" t="str">
        <f>CONCATENATE("3071-0000-7252","")</f>
        <v>3071-0000-7252</v>
      </c>
      <c r="B3588" s="4" t="s">
        <v>4896</v>
      </c>
      <c r="C3588" s="5">
        <v>41489</v>
      </c>
      <c r="D3588" s="5">
        <v>41549</v>
      </c>
      <c r="E3588" s="4" t="s">
        <v>1410</v>
      </c>
      <c r="F3588" s="4" t="s">
        <v>1410</v>
      </c>
    </row>
    <row r="3589" spans="1:6" x14ac:dyDescent="0.25">
      <c r="A3589" s="4" t="str">
        <f>CONCATENATE("3071-0000-8808","")</f>
        <v>3071-0000-8808</v>
      </c>
      <c r="B3589" s="4" t="s">
        <v>6514</v>
      </c>
      <c r="C3589" s="5">
        <v>41489</v>
      </c>
      <c r="D3589" s="5">
        <v>41549</v>
      </c>
      <c r="E3589" s="4" t="s">
        <v>5185</v>
      </c>
      <c r="F3589" s="4" t="s">
        <v>5292</v>
      </c>
    </row>
    <row r="3590" spans="1:6" x14ac:dyDescent="0.25">
      <c r="A3590" s="4" t="str">
        <f>CONCATENATE("3071-0000-9131","")</f>
        <v>3071-0000-9131</v>
      </c>
      <c r="B3590" s="4" t="s">
        <v>6442</v>
      </c>
      <c r="C3590" s="5">
        <v>41489</v>
      </c>
      <c r="D3590" s="5">
        <v>41549</v>
      </c>
      <c r="E3590" s="4" t="s">
        <v>5185</v>
      </c>
      <c r="F3590" s="4" t="s">
        <v>5292</v>
      </c>
    </row>
    <row r="3591" spans="1:6" x14ac:dyDescent="0.25">
      <c r="A3591" s="4" t="str">
        <f>CONCATENATE("3071-0000-7144","")</f>
        <v>3071-0000-7144</v>
      </c>
      <c r="B3591" s="4" t="s">
        <v>4963</v>
      </c>
      <c r="C3591" s="5">
        <v>41489</v>
      </c>
      <c r="D3591" s="5">
        <v>41549</v>
      </c>
      <c r="E3591" s="4" t="s">
        <v>1410</v>
      </c>
      <c r="F3591" s="4" t="s">
        <v>1410</v>
      </c>
    </row>
    <row r="3592" spans="1:6" x14ac:dyDescent="0.25">
      <c r="A3592" s="4" t="str">
        <f>CONCATENATE("3071-0000-7308","")</f>
        <v>3071-0000-7308</v>
      </c>
      <c r="B3592" s="4" t="s">
        <v>4914</v>
      </c>
      <c r="C3592" s="5">
        <v>41489</v>
      </c>
      <c r="D3592" s="5">
        <v>41549</v>
      </c>
      <c r="E3592" s="4" t="s">
        <v>1410</v>
      </c>
      <c r="F3592" s="4" t="s">
        <v>1410</v>
      </c>
    </row>
    <row r="3593" spans="1:6" x14ac:dyDescent="0.25">
      <c r="A3593" s="4" t="str">
        <f>CONCATENATE("3071-0000-4007","")</f>
        <v>3071-0000-4007</v>
      </c>
      <c r="B3593" s="4" t="s">
        <v>4213</v>
      </c>
      <c r="C3593" s="5">
        <v>41489</v>
      </c>
      <c r="D3593" s="5">
        <v>41549</v>
      </c>
      <c r="E3593" s="4" t="s">
        <v>7</v>
      </c>
      <c r="F3593" s="4" t="s">
        <v>1419</v>
      </c>
    </row>
    <row r="3594" spans="1:6" x14ac:dyDescent="0.25">
      <c r="A3594" s="4" t="str">
        <f>CONCATENATE("3071-0000-4515","")</f>
        <v>3071-0000-4515</v>
      </c>
      <c r="B3594" s="4" t="s">
        <v>9521</v>
      </c>
      <c r="C3594" s="5">
        <v>41489</v>
      </c>
      <c r="D3594" s="5">
        <v>41549</v>
      </c>
      <c r="E3594" s="4" t="s">
        <v>1410</v>
      </c>
      <c r="F3594" s="4" t="s">
        <v>8696</v>
      </c>
    </row>
    <row r="3595" spans="1:6" x14ac:dyDescent="0.25">
      <c r="A3595" s="4" t="str">
        <f>CONCATENATE("3071-0000-4750","")</f>
        <v>3071-0000-4750</v>
      </c>
      <c r="B3595" s="4" t="s">
        <v>9632</v>
      </c>
      <c r="C3595" s="5">
        <v>41489</v>
      </c>
      <c r="D3595" s="5">
        <v>41549</v>
      </c>
      <c r="E3595" s="4" t="s">
        <v>1410</v>
      </c>
      <c r="F3595" s="4" t="s">
        <v>8696</v>
      </c>
    </row>
    <row r="3596" spans="1:6" x14ac:dyDescent="0.25">
      <c r="A3596" s="4" t="str">
        <f>CONCATENATE("3071-0000-4896","")</f>
        <v>3071-0000-4896</v>
      </c>
      <c r="B3596" s="4" t="s">
        <v>9518</v>
      </c>
      <c r="C3596" s="5">
        <v>41489</v>
      </c>
      <c r="D3596" s="5">
        <v>41549</v>
      </c>
      <c r="E3596" s="4" t="s">
        <v>7069</v>
      </c>
      <c r="F3596" s="4" t="s">
        <v>9210</v>
      </c>
    </row>
    <row r="3597" spans="1:6" x14ac:dyDescent="0.25">
      <c r="A3597" s="4" t="str">
        <f>CONCATENATE("3071-0000-4705","")</f>
        <v>3071-0000-4705</v>
      </c>
      <c r="B3597" s="4" t="s">
        <v>9616</v>
      </c>
      <c r="C3597" s="5">
        <v>41489</v>
      </c>
      <c r="D3597" s="5">
        <v>41549</v>
      </c>
      <c r="E3597" s="4" t="s">
        <v>1410</v>
      </c>
      <c r="F3597" s="4" t="s">
        <v>8696</v>
      </c>
    </row>
    <row r="3598" spans="1:6" x14ac:dyDescent="0.25">
      <c r="A3598" s="4" t="str">
        <f>CONCATENATE("3071-0000-1210","")</f>
        <v>3071-0000-1210</v>
      </c>
      <c r="B3598" s="4" t="s">
        <v>2111</v>
      </c>
      <c r="C3598" s="5">
        <v>41489</v>
      </c>
      <c r="D3598" s="5">
        <v>41549</v>
      </c>
      <c r="E3598" s="4" t="s">
        <v>1857</v>
      </c>
      <c r="F3598" s="4" t="s">
        <v>2108</v>
      </c>
    </row>
    <row r="3599" spans="1:6" x14ac:dyDescent="0.25">
      <c r="A3599" s="4" t="str">
        <f>CONCATENATE("3071-0000-7137","")</f>
        <v>3071-0000-7137</v>
      </c>
      <c r="B3599" s="4" t="s">
        <v>4955</v>
      </c>
      <c r="C3599" s="5">
        <v>41489</v>
      </c>
      <c r="D3599" s="5">
        <v>41549</v>
      </c>
      <c r="E3599" s="4" t="s">
        <v>1410</v>
      </c>
      <c r="F3599" s="4" t="s">
        <v>1410</v>
      </c>
    </row>
    <row r="3600" spans="1:6" x14ac:dyDescent="0.25">
      <c r="A3600" s="4" t="str">
        <f>CONCATENATE("3071-0000-7884","")</f>
        <v>3071-0000-7884</v>
      </c>
      <c r="B3600" s="4" t="s">
        <v>5487</v>
      </c>
      <c r="C3600" s="5">
        <v>41489</v>
      </c>
      <c r="D3600" s="5">
        <v>41549</v>
      </c>
      <c r="E3600" s="4" t="s">
        <v>5185</v>
      </c>
      <c r="F3600" s="4" t="s">
        <v>5185</v>
      </c>
    </row>
    <row r="3601" spans="1:6" x14ac:dyDescent="0.25">
      <c r="A3601" s="4" t="str">
        <f>CONCATENATE("3071-0000-9136","")</f>
        <v>3071-0000-9136</v>
      </c>
      <c r="B3601" s="4" t="s">
        <v>6141</v>
      </c>
      <c r="C3601" s="5">
        <v>41489</v>
      </c>
      <c r="D3601" s="5">
        <v>41549</v>
      </c>
      <c r="E3601" s="4" t="s">
        <v>5185</v>
      </c>
      <c r="F3601" s="4" t="s">
        <v>5945</v>
      </c>
    </row>
    <row r="3602" spans="1:6" x14ac:dyDescent="0.25">
      <c r="A3602" s="4" t="str">
        <f>CONCATENATE("3071-0000-5406","")</f>
        <v>3071-0000-5406</v>
      </c>
      <c r="B3602" s="4" t="s">
        <v>6614</v>
      </c>
      <c r="C3602" s="5">
        <v>41489</v>
      </c>
      <c r="D3602" s="5">
        <v>41549</v>
      </c>
      <c r="E3602" s="4" t="s">
        <v>5185</v>
      </c>
      <c r="F3602" s="4" t="s">
        <v>5185</v>
      </c>
    </row>
    <row r="3603" spans="1:6" x14ac:dyDescent="0.25">
      <c r="A3603" s="4" t="str">
        <f>CONCATENATE("3071-0000-7142","")</f>
        <v>3071-0000-7142</v>
      </c>
      <c r="B3603" s="4" t="s">
        <v>4957</v>
      </c>
      <c r="C3603" s="5">
        <v>41489</v>
      </c>
      <c r="D3603" s="5">
        <v>41549</v>
      </c>
      <c r="E3603" s="4" t="s">
        <v>1410</v>
      </c>
      <c r="F3603" s="4" t="s">
        <v>1410</v>
      </c>
    </row>
    <row r="3604" spans="1:6" x14ac:dyDescent="0.25">
      <c r="A3604" s="4" t="str">
        <f>CONCATENATE("3071-0000-7596","")</f>
        <v>3071-0000-7596</v>
      </c>
      <c r="B3604" s="4" t="s">
        <v>5101</v>
      </c>
      <c r="C3604" s="5">
        <v>41489</v>
      </c>
      <c r="D3604" s="5">
        <v>41549</v>
      </c>
      <c r="E3604" s="4" t="s">
        <v>1410</v>
      </c>
      <c r="F3604" s="4" t="s">
        <v>4616</v>
      </c>
    </row>
    <row r="3605" spans="1:6" x14ac:dyDescent="0.25">
      <c r="A3605" s="4" t="str">
        <f>CONCATENATE("3071-0000-5408","")</f>
        <v>3071-0000-5408</v>
      </c>
      <c r="B3605" s="4" t="s">
        <v>6617</v>
      </c>
      <c r="C3605" s="5">
        <v>41489</v>
      </c>
      <c r="D3605" s="5">
        <v>41549</v>
      </c>
      <c r="E3605" s="4" t="s">
        <v>5185</v>
      </c>
      <c r="F3605" s="4" t="s">
        <v>5185</v>
      </c>
    </row>
    <row r="3606" spans="1:6" x14ac:dyDescent="0.25">
      <c r="A3606" s="4" t="str">
        <f>CONCATENATE("3071-0000-8133","")</f>
        <v>3071-0000-8133</v>
      </c>
      <c r="B3606" s="4" t="s">
        <v>5311</v>
      </c>
      <c r="C3606" s="5">
        <v>41489</v>
      </c>
      <c r="D3606" s="5">
        <v>41549</v>
      </c>
      <c r="E3606" s="4" t="s">
        <v>5185</v>
      </c>
      <c r="F3606" s="4" t="s">
        <v>5185</v>
      </c>
    </row>
    <row r="3607" spans="1:6" x14ac:dyDescent="0.25">
      <c r="A3607" s="4" t="str">
        <f>CONCATENATE("3071-0000-8591","")</f>
        <v>3071-0000-8591</v>
      </c>
      <c r="B3607" s="4" t="s">
        <v>5443</v>
      </c>
      <c r="C3607" s="5">
        <v>41489</v>
      </c>
      <c r="D3607" s="5">
        <v>41549</v>
      </c>
      <c r="E3607" s="4" t="s">
        <v>1410</v>
      </c>
      <c r="F3607" s="4" t="s">
        <v>4616</v>
      </c>
    </row>
    <row r="3608" spans="1:6" x14ac:dyDescent="0.25">
      <c r="A3608" s="4" t="str">
        <f>CONCATENATE("3071-0000-7200","")</f>
        <v>3071-0000-7200</v>
      </c>
      <c r="B3608" s="4" t="s">
        <v>5089</v>
      </c>
      <c r="C3608" s="5">
        <v>41489</v>
      </c>
      <c r="D3608" s="5">
        <v>41549</v>
      </c>
      <c r="E3608" s="4" t="s">
        <v>1410</v>
      </c>
      <c r="F3608" s="4" t="s">
        <v>1410</v>
      </c>
    </row>
    <row r="3609" spans="1:6" x14ac:dyDescent="0.25">
      <c r="A3609" s="4" t="str">
        <f>CONCATENATE("3071-0000-0753","")</f>
        <v>3071-0000-0753</v>
      </c>
      <c r="B3609" s="4" t="s">
        <v>77</v>
      </c>
      <c r="C3609" s="5">
        <v>41489</v>
      </c>
      <c r="D3609" s="5">
        <v>41549</v>
      </c>
      <c r="E3609" s="4" t="s">
        <v>7</v>
      </c>
      <c r="F3609" s="4" t="s">
        <v>7</v>
      </c>
    </row>
    <row r="3610" spans="1:6" x14ac:dyDescent="0.25">
      <c r="A3610" s="4" t="str">
        <f>CONCATENATE("3071-0000-3259","")</f>
        <v>3071-0000-3259</v>
      </c>
      <c r="B3610" s="4" t="s">
        <v>1145</v>
      </c>
      <c r="C3610" s="5">
        <v>41489</v>
      </c>
      <c r="D3610" s="5">
        <v>41549</v>
      </c>
      <c r="E3610" s="4" t="s">
        <v>7</v>
      </c>
      <c r="F3610" s="4" t="s">
        <v>808</v>
      </c>
    </row>
    <row r="3611" spans="1:6" x14ac:dyDescent="0.25">
      <c r="A3611" s="4" t="str">
        <f>CONCATENATE("3071-0000-3207","")</f>
        <v>3071-0000-3207</v>
      </c>
      <c r="B3611" s="4" t="s">
        <v>1018</v>
      </c>
      <c r="C3611" s="5">
        <v>41489</v>
      </c>
      <c r="D3611" s="5">
        <v>41549</v>
      </c>
      <c r="E3611" s="4" t="s">
        <v>7</v>
      </c>
      <c r="F3611" s="4" t="s">
        <v>808</v>
      </c>
    </row>
    <row r="3612" spans="1:6" x14ac:dyDescent="0.25">
      <c r="A3612" s="4" t="str">
        <f>CONCATENATE("3071-0000-3419","")</f>
        <v>3071-0000-3419</v>
      </c>
      <c r="B3612" s="4" t="s">
        <v>1605</v>
      </c>
      <c r="C3612" s="5">
        <v>41489</v>
      </c>
      <c r="D3612" s="5">
        <v>41549</v>
      </c>
      <c r="E3612" s="4" t="s">
        <v>1410</v>
      </c>
      <c r="F3612" s="4" t="s">
        <v>1411</v>
      </c>
    </row>
    <row r="3613" spans="1:6" x14ac:dyDescent="0.25">
      <c r="A3613" s="4" t="str">
        <f>CONCATENATE("3071-0000-6929","")</f>
        <v>3071-0000-6929</v>
      </c>
      <c r="B3613" s="4" t="s">
        <v>4490</v>
      </c>
      <c r="C3613" s="5">
        <v>41489</v>
      </c>
      <c r="D3613" s="5">
        <v>41549</v>
      </c>
      <c r="E3613" s="4" t="s">
        <v>1410</v>
      </c>
      <c r="F3613" s="4" t="s">
        <v>1410</v>
      </c>
    </row>
    <row r="3614" spans="1:6" x14ac:dyDescent="0.25">
      <c r="A3614" s="4" t="str">
        <f>CONCATENATE("3071-0000-6928","")</f>
        <v>3071-0000-6928</v>
      </c>
      <c r="B3614" s="4" t="s">
        <v>4491</v>
      </c>
      <c r="C3614" s="5">
        <v>41489</v>
      </c>
      <c r="D3614" s="5">
        <v>41549</v>
      </c>
      <c r="E3614" s="4" t="s">
        <v>1410</v>
      </c>
      <c r="F3614" s="4" t="s">
        <v>1410</v>
      </c>
    </row>
    <row r="3615" spans="1:6" x14ac:dyDescent="0.25">
      <c r="A3615" s="4" t="str">
        <f>CONCATENATE("3071-0000-3418","")</f>
        <v>3071-0000-3418</v>
      </c>
      <c r="B3615" s="4" t="s">
        <v>1603</v>
      </c>
      <c r="C3615" s="5">
        <v>41489</v>
      </c>
      <c r="D3615" s="5">
        <v>41549</v>
      </c>
      <c r="E3615" s="4" t="s">
        <v>1410</v>
      </c>
      <c r="F3615" s="4" t="s">
        <v>1411</v>
      </c>
    </row>
    <row r="3616" spans="1:6" x14ac:dyDescent="0.25">
      <c r="A3616" s="4" t="str">
        <f>CONCATENATE("3071-0000-3391","")</f>
        <v>3071-0000-3391</v>
      </c>
      <c r="B3616" s="4" t="s">
        <v>1538</v>
      </c>
      <c r="C3616" s="5">
        <v>41489</v>
      </c>
      <c r="D3616" s="5">
        <v>41549</v>
      </c>
      <c r="E3616" s="4" t="s">
        <v>1410</v>
      </c>
      <c r="F3616" s="4" t="s">
        <v>1411</v>
      </c>
    </row>
    <row r="3617" spans="1:6" x14ac:dyDescent="0.25">
      <c r="A3617" s="4" t="str">
        <f>CONCATENATE("3071-0000-0818","")</f>
        <v>3071-0000-0818</v>
      </c>
      <c r="B3617" s="4" t="s">
        <v>1941</v>
      </c>
      <c r="C3617" s="5">
        <v>41489</v>
      </c>
      <c r="D3617" s="5">
        <v>41549</v>
      </c>
      <c r="E3617" s="4" t="s">
        <v>1857</v>
      </c>
      <c r="F3617" s="4" t="s">
        <v>1857</v>
      </c>
    </row>
    <row r="3618" spans="1:6" x14ac:dyDescent="0.25">
      <c r="A3618" s="4" t="str">
        <f>CONCATENATE("3071-0000-7659","")</f>
        <v>3071-0000-7659</v>
      </c>
      <c r="B3618" s="4" t="s">
        <v>4880</v>
      </c>
      <c r="C3618" s="5">
        <v>41489</v>
      </c>
      <c r="D3618" s="5">
        <v>41549</v>
      </c>
      <c r="E3618" s="4" t="s">
        <v>1410</v>
      </c>
      <c r="F3618" s="4" t="s">
        <v>4655</v>
      </c>
    </row>
    <row r="3619" spans="1:6" x14ac:dyDescent="0.25">
      <c r="A3619" s="4" t="str">
        <f>CONCATENATE("3071-0000-8172","")</f>
        <v>3071-0000-8172</v>
      </c>
      <c r="B3619" s="4" t="s">
        <v>5223</v>
      </c>
      <c r="C3619" s="5">
        <v>41489</v>
      </c>
      <c r="D3619" s="5">
        <v>41549</v>
      </c>
      <c r="E3619" s="4" t="s">
        <v>5185</v>
      </c>
      <c r="F3619" s="4" t="s">
        <v>5185</v>
      </c>
    </row>
    <row r="3620" spans="1:6" x14ac:dyDescent="0.25">
      <c r="A3620" s="4" t="str">
        <f>CONCATENATE("3071-0000-3443","")</f>
        <v>3071-0000-3443</v>
      </c>
      <c r="B3620" s="4" t="s">
        <v>1727</v>
      </c>
      <c r="C3620" s="5">
        <v>41489</v>
      </c>
      <c r="D3620" s="5">
        <v>41549</v>
      </c>
      <c r="E3620" s="4" t="s">
        <v>1410</v>
      </c>
      <c r="F3620" s="4" t="s">
        <v>1411</v>
      </c>
    </row>
    <row r="3621" spans="1:6" x14ac:dyDescent="0.25">
      <c r="A3621" s="4" t="str">
        <f>CONCATENATE("3071-0000-7735","")</f>
        <v>3071-0000-7735</v>
      </c>
      <c r="B3621" s="4" t="s">
        <v>4413</v>
      </c>
      <c r="C3621" s="5">
        <v>41489</v>
      </c>
      <c r="D3621" s="5">
        <v>41549</v>
      </c>
      <c r="E3621" s="4" t="s">
        <v>1410</v>
      </c>
      <c r="F3621" s="4" t="s">
        <v>1410</v>
      </c>
    </row>
    <row r="3622" spans="1:6" x14ac:dyDescent="0.25">
      <c r="A3622" s="4" t="str">
        <f>CONCATENATE("3071-0000-5618","")</f>
        <v>3071-0000-5618</v>
      </c>
      <c r="B3622" s="4" t="s">
        <v>7196</v>
      </c>
      <c r="C3622" s="5">
        <v>41489</v>
      </c>
      <c r="D3622" s="5">
        <v>41549</v>
      </c>
      <c r="E3622" s="4" t="s">
        <v>5185</v>
      </c>
      <c r="F3622" s="4" t="s">
        <v>5185</v>
      </c>
    </row>
    <row r="3623" spans="1:6" x14ac:dyDescent="0.25">
      <c r="A3623" s="4" t="str">
        <f>CONCATENATE("3071-0000-2859","")</f>
        <v>3071-0000-2859</v>
      </c>
      <c r="B3623" s="4" t="s">
        <v>1364</v>
      </c>
      <c r="C3623" s="5">
        <v>41489</v>
      </c>
      <c r="D3623" s="5">
        <v>41549</v>
      </c>
      <c r="E3623" s="4" t="s">
        <v>7</v>
      </c>
      <c r="F3623" s="4" t="s">
        <v>808</v>
      </c>
    </row>
    <row r="3624" spans="1:6" x14ac:dyDescent="0.25">
      <c r="A3624" s="4" t="str">
        <f>CONCATENATE("3071-0000-2753","")</f>
        <v>3071-0000-2753</v>
      </c>
      <c r="B3624" s="4" t="s">
        <v>828</v>
      </c>
      <c r="C3624" s="5">
        <v>41489</v>
      </c>
      <c r="D3624" s="5">
        <v>41549</v>
      </c>
      <c r="E3624" s="4" t="s">
        <v>7</v>
      </c>
      <c r="F3624" s="4" t="s">
        <v>808</v>
      </c>
    </row>
    <row r="3625" spans="1:6" x14ac:dyDescent="0.25">
      <c r="A3625" s="4" t="str">
        <f>CONCATENATE("3071-0000-6623","")</f>
        <v>3071-0000-6623</v>
      </c>
      <c r="B3625" s="4" t="s">
        <v>8212</v>
      </c>
      <c r="C3625" s="5">
        <v>41489</v>
      </c>
      <c r="D3625" s="5">
        <v>41549</v>
      </c>
      <c r="E3625" s="4" t="s">
        <v>5185</v>
      </c>
      <c r="F3625" s="4" t="s">
        <v>5185</v>
      </c>
    </row>
    <row r="3626" spans="1:6" x14ac:dyDescent="0.25">
      <c r="A3626" s="4" t="str">
        <f>CONCATENATE("3071-0000-3184","")</f>
        <v>3071-0000-3184</v>
      </c>
      <c r="B3626" s="4" t="s">
        <v>1266</v>
      </c>
      <c r="C3626" s="5">
        <v>41489</v>
      </c>
      <c r="D3626" s="5">
        <v>41549</v>
      </c>
      <c r="E3626" s="4" t="s">
        <v>7</v>
      </c>
      <c r="F3626" s="4" t="s">
        <v>808</v>
      </c>
    </row>
    <row r="3627" spans="1:6" x14ac:dyDescent="0.25">
      <c r="A3627" s="4" t="str">
        <f>CONCATENATE("3071-0000-5063","")</f>
        <v>3071-0000-5063</v>
      </c>
      <c r="B3627" s="4" t="s">
        <v>9064</v>
      </c>
      <c r="C3627" s="5">
        <v>41489</v>
      </c>
      <c r="D3627" s="5">
        <v>41549</v>
      </c>
      <c r="E3627" s="4" t="s">
        <v>7069</v>
      </c>
      <c r="F3627" s="4" t="s">
        <v>9065</v>
      </c>
    </row>
    <row r="3628" spans="1:6" x14ac:dyDescent="0.25">
      <c r="A3628" s="4" t="str">
        <f>CONCATENATE("3071-0000-6912","")</f>
        <v>3071-0000-6912</v>
      </c>
      <c r="B3628" s="4" t="s">
        <v>4265</v>
      </c>
      <c r="C3628" s="5">
        <v>41489</v>
      </c>
      <c r="D3628" s="5">
        <v>41549</v>
      </c>
      <c r="E3628" s="4" t="s">
        <v>1410</v>
      </c>
      <c r="F3628" s="4" t="s">
        <v>1410</v>
      </c>
    </row>
    <row r="3629" spans="1:6" x14ac:dyDescent="0.25">
      <c r="A3629" s="4" t="str">
        <f>CONCATENATE("3071-0000-5565","")</f>
        <v>3071-0000-5565</v>
      </c>
      <c r="B3629" s="4" t="s">
        <v>6934</v>
      </c>
      <c r="C3629" s="5">
        <v>41489</v>
      </c>
      <c r="D3629" s="5">
        <v>41549</v>
      </c>
      <c r="E3629" s="4" t="s">
        <v>5185</v>
      </c>
      <c r="F3629" s="4" t="s">
        <v>5185</v>
      </c>
    </row>
    <row r="3630" spans="1:6" x14ac:dyDescent="0.25">
      <c r="A3630" s="4" t="str">
        <f>CONCATENATE("3071-0000-3568","")</f>
        <v>3071-0000-3568</v>
      </c>
      <c r="B3630" s="4" t="s">
        <v>1592</v>
      </c>
      <c r="C3630" s="5">
        <v>41489</v>
      </c>
      <c r="D3630" s="5">
        <v>41549</v>
      </c>
      <c r="E3630" s="4" t="s">
        <v>1410</v>
      </c>
      <c r="F3630" s="4" t="s">
        <v>1411</v>
      </c>
    </row>
    <row r="3631" spans="1:6" x14ac:dyDescent="0.25">
      <c r="A3631" s="4" t="str">
        <f>CONCATENATE("3071-0000-0054","")</f>
        <v>3071-0000-0054</v>
      </c>
      <c r="B3631" s="4" t="s">
        <v>107</v>
      </c>
      <c r="C3631" s="5">
        <v>41489</v>
      </c>
      <c r="D3631" s="5">
        <v>41549</v>
      </c>
      <c r="E3631" s="4" t="s">
        <v>7</v>
      </c>
      <c r="F3631" s="4" t="s">
        <v>7</v>
      </c>
    </row>
    <row r="3632" spans="1:6" x14ac:dyDescent="0.25">
      <c r="A3632" s="4" t="str">
        <f>CONCATENATE("3071-0000-3112","")</f>
        <v>3071-0000-3112</v>
      </c>
      <c r="B3632" s="4" t="s">
        <v>943</v>
      </c>
      <c r="C3632" s="5">
        <v>41489</v>
      </c>
      <c r="D3632" s="5">
        <v>41549</v>
      </c>
      <c r="E3632" s="4" t="s">
        <v>7</v>
      </c>
      <c r="F3632" s="4" t="s">
        <v>808</v>
      </c>
    </row>
    <row r="3633" spans="1:6" x14ac:dyDescent="0.25">
      <c r="A3633" s="4" t="str">
        <f>CONCATENATE("3071-0000-3061","")</f>
        <v>3071-0000-3061</v>
      </c>
      <c r="B3633" s="4" t="s">
        <v>888</v>
      </c>
      <c r="C3633" s="5">
        <v>41489</v>
      </c>
      <c r="D3633" s="5">
        <v>41549</v>
      </c>
      <c r="E3633" s="4" t="s">
        <v>7</v>
      </c>
      <c r="F3633" s="4" t="s">
        <v>808</v>
      </c>
    </row>
    <row r="3634" spans="1:6" x14ac:dyDescent="0.25">
      <c r="A3634" s="4" t="str">
        <f>CONCATENATE("3071-0000-3297","")</f>
        <v>3071-0000-3297</v>
      </c>
      <c r="B3634" s="4" t="s">
        <v>1230</v>
      </c>
      <c r="C3634" s="5">
        <v>41489</v>
      </c>
      <c r="D3634" s="5">
        <v>41549</v>
      </c>
      <c r="E3634" s="4" t="s">
        <v>7</v>
      </c>
      <c r="F3634" s="4" t="s">
        <v>808</v>
      </c>
    </row>
    <row r="3635" spans="1:6" x14ac:dyDescent="0.25">
      <c r="A3635" s="4" t="str">
        <f>CONCATENATE("3071-0000-3028","")</f>
        <v>3071-0000-3028</v>
      </c>
      <c r="B3635" s="4" t="s">
        <v>1225</v>
      </c>
      <c r="C3635" s="5">
        <v>41489</v>
      </c>
      <c r="D3635" s="5">
        <v>41549</v>
      </c>
      <c r="E3635" s="4" t="s">
        <v>7</v>
      </c>
      <c r="F3635" s="4" t="s">
        <v>808</v>
      </c>
    </row>
    <row r="3636" spans="1:6" x14ac:dyDescent="0.25">
      <c r="A3636" s="4" t="str">
        <f>CONCATENATE("3071-0000-7166","")</f>
        <v>3071-0000-7166</v>
      </c>
      <c r="B3636" s="4" t="s">
        <v>5073</v>
      </c>
      <c r="C3636" s="5">
        <v>41489</v>
      </c>
      <c r="D3636" s="5">
        <v>41549</v>
      </c>
      <c r="E3636" s="4" t="s">
        <v>1410</v>
      </c>
      <c r="F3636" s="4" t="s">
        <v>1410</v>
      </c>
    </row>
    <row r="3637" spans="1:6" x14ac:dyDescent="0.25">
      <c r="A3637" s="4" t="str">
        <f>CONCATENATE("3071-0000-3032","")</f>
        <v>3071-0000-3032</v>
      </c>
      <c r="B3637" s="4" t="s">
        <v>1045</v>
      </c>
      <c r="C3637" s="5">
        <v>41489</v>
      </c>
      <c r="D3637" s="5">
        <v>41549</v>
      </c>
      <c r="E3637" s="4" t="s">
        <v>7</v>
      </c>
      <c r="F3637" s="4" t="s">
        <v>808</v>
      </c>
    </row>
    <row r="3638" spans="1:6" x14ac:dyDescent="0.25">
      <c r="A3638" s="4" t="str">
        <f>CONCATENATE("3071-0000-2793","")</f>
        <v>3071-0000-2793</v>
      </c>
      <c r="B3638" s="4" t="s">
        <v>992</v>
      </c>
      <c r="C3638" s="5">
        <v>41489</v>
      </c>
      <c r="D3638" s="5">
        <v>41549</v>
      </c>
      <c r="E3638" s="4" t="s">
        <v>7</v>
      </c>
      <c r="F3638" s="4" t="s">
        <v>808</v>
      </c>
    </row>
    <row r="3639" spans="1:6" x14ac:dyDescent="0.25">
      <c r="A3639" s="4" t="str">
        <f>CONCATENATE("3071-0000-6880","")</f>
        <v>3071-0000-6880</v>
      </c>
      <c r="B3639" s="4" t="s">
        <v>4311</v>
      </c>
      <c r="C3639" s="5">
        <v>41489</v>
      </c>
      <c r="D3639" s="5">
        <v>41549</v>
      </c>
      <c r="E3639" s="4" t="s">
        <v>1410</v>
      </c>
      <c r="F3639" s="4" t="s">
        <v>1410</v>
      </c>
    </row>
    <row r="3640" spans="1:6" x14ac:dyDescent="0.25">
      <c r="A3640" s="4" t="str">
        <f>CONCATENATE("3071-0000-7926","")</f>
        <v>3071-0000-7926</v>
      </c>
      <c r="B3640" s="4" t="s">
        <v>5554</v>
      </c>
      <c r="C3640" s="5">
        <v>41489</v>
      </c>
      <c r="D3640" s="5">
        <v>41549</v>
      </c>
      <c r="E3640" s="4" t="s">
        <v>5185</v>
      </c>
      <c r="F3640" s="4" t="s">
        <v>5185</v>
      </c>
    </row>
    <row r="3641" spans="1:6" x14ac:dyDescent="0.25">
      <c r="A3641" s="4" t="str">
        <f>CONCATENATE("3071-0000-8426","")</f>
        <v>3071-0000-8426</v>
      </c>
      <c r="B3641" s="4" t="s">
        <v>5271</v>
      </c>
      <c r="C3641" s="5">
        <v>41489</v>
      </c>
      <c r="D3641" s="5">
        <v>41549</v>
      </c>
      <c r="E3641" s="4" t="s">
        <v>5185</v>
      </c>
      <c r="F3641" s="4" t="s">
        <v>5185</v>
      </c>
    </row>
    <row r="3642" spans="1:6" x14ac:dyDescent="0.25">
      <c r="A3642" s="4" t="str">
        <f>CONCATENATE("3071-0000-5384","")</f>
        <v>3071-0000-5384</v>
      </c>
      <c r="B3642" s="4" t="s">
        <v>6828</v>
      </c>
      <c r="C3642" s="5">
        <v>41489</v>
      </c>
      <c r="D3642" s="5">
        <v>41549</v>
      </c>
      <c r="E3642" s="4" t="s">
        <v>5185</v>
      </c>
      <c r="F3642" s="4" t="s">
        <v>5185</v>
      </c>
    </row>
    <row r="3643" spans="1:6" x14ac:dyDescent="0.25">
      <c r="A3643" s="4" t="str">
        <f>CONCATENATE("3071-0000-5486","")</f>
        <v>3071-0000-5486</v>
      </c>
      <c r="B3643" s="4" t="s">
        <v>6646</v>
      </c>
      <c r="C3643" s="5">
        <v>41489</v>
      </c>
      <c r="D3643" s="5">
        <v>41549</v>
      </c>
      <c r="E3643" s="4" t="s">
        <v>1410</v>
      </c>
      <c r="F3643" s="4" t="s">
        <v>6635</v>
      </c>
    </row>
    <row r="3644" spans="1:6" x14ac:dyDescent="0.25">
      <c r="A3644" s="4" t="str">
        <f>CONCATENATE("3071-0000-5300","")</f>
        <v>3071-0000-5300</v>
      </c>
      <c r="B3644" s="4" t="s">
        <v>6768</v>
      </c>
      <c r="C3644" s="5">
        <v>41489</v>
      </c>
      <c r="D3644" s="5">
        <v>41549</v>
      </c>
      <c r="E3644" s="4" t="s">
        <v>5185</v>
      </c>
      <c r="F3644" s="4" t="s">
        <v>5185</v>
      </c>
    </row>
    <row r="3645" spans="1:6" x14ac:dyDescent="0.25">
      <c r="A3645" s="4" t="str">
        <f>CONCATENATE("3071-0000-5516","")</f>
        <v>3071-0000-5516</v>
      </c>
      <c r="B3645" s="4" t="s">
        <v>6713</v>
      </c>
      <c r="C3645" s="5">
        <v>41489</v>
      </c>
      <c r="D3645" s="5">
        <v>41549</v>
      </c>
      <c r="E3645" s="4" t="s">
        <v>1410</v>
      </c>
      <c r="F3645" s="4" t="s">
        <v>6635</v>
      </c>
    </row>
    <row r="3646" spans="1:6" x14ac:dyDescent="0.25">
      <c r="A3646" s="4" t="str">
        <f>CONCATENATE("3071-0000-5497","")</f>
        <v>3071-0000-5497</v>
      </c>
      <c r="B3646" s="4" t="s">
        <v>6773</v>
      </c>
      <c r="C3646" s="5">
        <v>41489</v>
      </c>
      <c r="D3646" s="5">
        <v>41549</v>
      </c>
      <c r="E3646" s="4" t="s">
        <v>1410</v>
      </c>
      <c r="F3646" s="4" t="s">
        <v>6635</v>
      </c>
    </row>
    <row r="3647" spans="1:6" x14ac:dyDescent="0.25">
      <c r="A3647" s="4" t="str">
        <f>CONCATENATE("3071-0000-3081","")</f>
        <v>3071-0000-3081</v>
      </c>
      <c r="B3647" s="4" t="s">
        <v>946</v>
      </c>
      <c r="C3647" s="5">
        <v>41489</v>
      </c>
      <c r="D3647" s="5">
        <v>41549</v>
      </c>
      <c r="E3647" s="4" t="s">
        <v>7</v>
      </c>
      <c r="F3647" s="4" t="s">
        <v>808</v>
      </c>
    </row>
    <row r="3648" spans="1:6" x14ac:dyDescent="0.25">
      <c r="A3648" s="4" t="str">
        <f>CONCATENATE("3071-0000-8314","")</f>
        <v>3071-0000-8314</v>
      </c>
      <c r="B3648" s="4" t="s">
        <v>5823</v>
      </c>
      <c r="C3648" s="5">
        <v>41489</v>
      </c>
      <c r="D3648" s="5">
        <v>41549</v>
      </c>
      <c r="E3648" s="4" t="s">
        <v>5185</v>
      </c>
      <c r="F3648" s="4" t="s">
        <v>5185</v>
      </c>
    </row>
    <row r="3649" spans="1:6" x14ac:dyDescent="0.25">
      <c r="A3649" s="4" t="str">
        <f>CONCATENATE("3071-0000-5492","")</f>
        <v>3071-0000-5492</v>
      </c>
      <c r="B3649" s="4" t="s">
        <v>6786</v>
      </c>
      <c r="C3649" s="5">
        <v>41489</v>
      </c>
      <c r="D3649" s="5">
        <v>41549</v>
      </c>
      <c r="E3649" s="4" t="s">
        <v>1410</v>
      </c>
      <c r="F3649" s="4" t="s">
        <v>6635</v>
      </c>
    </row>
    <row r="3650" spans="1:6" x14ac:dyDescent="0.25">
      <c r="A3650" s="4" t="str">
        <f>CONCATENATE("3071-0000-5513","")</f>
        <v>3071-0000-5513</v>
      </c>
      <c r="B3650" s="4" t="s">
        <v>6641</v>
      </c>
      <c r="C3650" s="5">
        <v>41489</v>
      </c>
      <c r="D3650" s="5">
        <v>41549</v>
      </c>
      <c r="E3650" s="4" t="s">
        <v>1410</v>
      </c>
      <c r="F3650" s="4" t="s">
        <v>6635</v>
      </c>
    </row>
    <row r="3651" spans="1:6" x14ac:dyDescent="0.25">
      <c r="A3651" s="4" t="str">
        <f>CONCATENATE("3071-0000-5322","")</f>
        <v>3071-0000-5322</v>
      </c>
      <c r="B3651" s="4" t="s">
        <v>6681</v>
      </c>
      <c r="C3651" s="5">
        <v>41489</v>
      </c>
      <c r="D3651" s="5">
        <v>41549</v>
      </c>
      <c r="E3651" s="4" t="s">
        <v>5185</v>
      </c>
      <c r="F3651" s="4" t="s">
        <v>5185</v>
      </c>
    </row>
    <row r="3652" spans="1:6" x14ac:dyDescent="0.25">
      <c r="A3652" s="4" t="str">
        <f>CONCATENATE("3071-0000-7079","")</f>
        <v>3071-0000-7079</v>
      </c>
      <c r="B3652" s="4" t="s">
        <v>4768</v>
      </c>
      <c r="C3652" s="5">
        <v>41489</v>
      </c>
      <c r="D3652" s="5">
        <v>41549</v>
      </c>
      <c r="E3652" s="4" t="s">
        <v>1410</v>
      </c>
      <c r="F3652" s="4" t="s">
        <v>1410</v>
      </c>
    </row>
    <row r="3653" spans="1:6" x14ac:dyDescent="0.25">
      <c r="A3653" s="4" t="str">
        <f>CONCATENATE("3071-0000-5229","")</f>
        <v>3071-0000-5229</v>
      </c>
      <c r="B3653" s="4" t="s">
        <v>6689</v>
      </c>
      <c r="C3653" s="5">
        <v>41489</v>
      </c>
      <c r="D3653" s="5">
        <v>41549</v>
      </c>
      <c r="E3653" s="4" t="s">
        <v>5185</v>
      </c>
      <c r="F3653" s="4" t="s">
        <v>5185</v>
      </c>
    </row>
    <row r="3654" spans="1:6" x14ac:dyDescent="0.25">
      <c r="A3654" s="4" t="str">
        <f>CONCATENATE("3071-0000-7878","")</f>
        <v>3071-0000-7878</v>
      </c>
      <c r="B3654" s="4" t="s">
        <v>5480</v>
      </c>
      <c r="C3654" s="5">
        <v>41489</v>
      </c>
      <c r="D3654" s="5">
        <v>41549</v>
      </c>
      <c r="E3654" s="4" t="s">
        <v>5185</v>
      </c>
      <c r="F3654" s="4" t="s">
        <v>5185</v>
      </c>
    </row>
    <row r="3655" spans="1:6" x14ac:dyDescent="0.25">
      <c r="A3655" s="4" t="str">
        <f>CONCATENATE("3071-0000-0784","")</f>
        <v>3071-0000-0784</v>
      </c>
      <c r="B3655" s="4" t="s">
        <v>621</v>
      </c>
      <c r="C3655" s="5">
        <v>41489</v>
      </c>
      <c r="D3655" s="5">
        <v>41549</v>
      </c>
      <c r="E3655" s="4" t="s">
        <v>7</v>
      </c>
      <c r="F3655" s="4" t="s">
        <v>7</v>
      </c>
    </row>
    <row r="3656" spans="1:6" x14ac:dyDescent="0.25">
      <c r="A3656" s="4" t="str">
        <f>CONCATENATE("3071-0000-5282","")</f>
        <v>3071-0000-5282</v>
      </c>
      <c r="B3656" s="4" t="s">
        <v>6744</v>
      </c>
      <c r="C3656" s="5">
        <v>41489</v>
      </c>
      <c r="D3656" s="5">
        <v>41549</v>
      </c>
      <c r="E3656" s="4" t="s">
        <v>5185</v>
      </c>
      <c r="F3656" s="4" t="s">
        <v>5185</v>
      </c>
    </row>
    <row r="3657" spans="1:6" x14ac:dyDescent="0.25">
      <c r="A3657" s="4" t="str">
        <f>CONCATENATE("3071-0000-2871","")</f>
        <v>3071-0000-2871</v>
      </c>
      <c r="B3657" s="4" t="s">
        <v>1388</v>
      </c>
      <c r="C3657" s="5">
        <v>41489</v>
      </c>
      <c r="D3657" s="5">
        <v>41549</v>
      </c>
      <c r="E3657" s="4" t="s">
        <v>7</v>
      </c>
      <c r="F3657" s="4" t="s">
        <v>808</v>
      </c>
    </row>
    <row r="3658" spans="1:6" x14ac:dyDescent="0.25">
      <c r="A3658" s="4" t="str">
        <f>CONCATENATE("3071-0000-2826","")</f>
        <v>3071-0000-2826</v>
      </c>
      <c r="B3658" s="4" t="s">
        <v>1072</v>
      </c>
      <c r="C3658" s="5">
        <v>41489</v>
      </c>
      <c r="D3658" s="5">
        <v>41549</v>
      </c>
      <c r="E3658" s="4" t="s">
        <v>7</v>
      </c>
      <c r="F3658" s="4" t="s">
        <v>808</v>
      </c>
    </row>
    <row r="3659" spans="1:6" x14ac:dyDescent="0.25">
      <c r="A3659" s="4" t="str">
        <f>CONCATENATE("3071-0000-5289","")</f>
        <v>3071-0000-5289</v>
      </c>
      <c r="B3659" s="4" t="s">
        <v>6748</v>
      </c>
      <c r="C3659" s="5">
        <v>41489</v>
      </c>
      <c r="D3659" s="5">
        <v>41549</v>
      </c>
      <c r="E3659" s="4" t="s">
        <v>5185</v>
      </c>
      <c r="F3659" s="4" t="s">
        <v>5185</v>
      </c>
    </row>
    <row r="3660" spans="1:6" x14ac:dyDescent="0.25">
      <c r="A3660" s="4" t="str">
        <f>CONCATENATE("3071-0000-5386","")</f>
        <v>3071-0000-5386</v>
      </c>
      <c r="B3660" s="4" t="s">
        <v>6831</v>
      </c>
      <c r="C3660" s="5">
        <v>41489</v>
      </c>
      <c r="D3660" s="5">
        <v>41549</v>
      </c>
      <c r="E3660" s="4" t="s">
        <v>5185</v>
      </c>
      <c r="F3660" s="4" t="s">
        <v>5185</v>
      </c>
    </row>
    <row r="3661" spans="1:6" x14ac:dyDescent="0.25">
      <c r="A3661" s="4" t="str">
        <f>CONCATENATE("3071-0000-5281","")</f>
        <v>3071-0000-5281</v>
      </c>
      <c r="B3661" s="4" t="s">
        <v>6749</v>
      </c>
      <c r="C3661" s="5">
        <v>41489</v>
      </c>
      <c r="D3661" s="5">
        <v>41549</v>
      </c>
      <c r="E3661" s="4" t="s">
        <v>5185</v>
      </c>
      <c r="F3661" s="4" t="s">
        <v>5185</v>
      </c>
    </row>
    <row r="3662" spans="1:6" x14ac:dyDescent="0.25">
      <c r="A3662" s="4" t="str">
        <f>CONCATENATE("3071-0000-8212","")</f>
        <v>3071-0000-8212</v>
      </c>
      <c r="B3662" s="4" t="s">
        <v>5522</v>
      </c>
      <c r="C3662" s="5">
        <v>41489</v>
      </c>
      <c r="D3662" s="5">
        <v>41549</v>
      </c>
      <c r="E3662" s="4" t="s">
        <v>5185</v>
      </c>
      <c r="F3662" s="4" t="s">
        <v>5185</v>
      </c>
    </row>
    <row r="3663" spans="1:6" x14ac:dyDescent="0.25">
      <c r="A3663" s="4" t="str">
        <f>CONCATENATE("3071-0000-7251","")</f>
        <v>3071-0000-7251</v>
      </c>
      <c r="B3663" s="4" t="s">
        <v>4941</v>
      </c>
      <c r="C3663" s="5">
        <v>41489</v>
      </c>
      <c r="D3663" s="5">
        <v>41549</v>
      </c>
      <c r="E3663" s="4" t="s">
        <v>1410</v>
      </c>
      <c r="F3663" s="4" t="s">
        <v>1410</v>
      </c>
    </row>
    <row r="3664" spans="1:6" x14ac:dyDescent="0.25">
      <c r="A3664" s="4" t="str">
        <f>CONCATENATE("3071-0000-9033","")</f>
        <v>3071-0000-9033</v>
      </c>
      <c r="B3664" s="4" t="s">
        <v>5433</v>
      </c>
      <c r="C3664" s="5">
        <v>41489</v>
      </c>
      <c r="D3664" s="5">
        <v>41549</v>
      </c>
      <c r="E3664" s="4" t="s">
        <v>1410</v>
      </c>
      <c r="F3664" s="4" t="s">
        <v>4616</v>
      </c>
    </row>
    <row r="3665" spans="1:6" x14ac:dyDescent="0.25">
      <c r="A3665" s="4" t="str">
        <f>CONCATENATE("3071-0000-8889","")</f>
        <v>3071-0000-8889</v>
      </c>
      <c r="B3665" s="4" t="s">
        <v>6493</v>
      </c>
      <c r="C3665" s="5">
        <v>41489</v>
      </c>
      <c r="D3665" s="5">
        <v>41549</v>
      </c>
      <c r="E3665" s="4" t="s">
        <v>5185</v>
      </c>
      <c r="F3665" s="4" t="s">
        <v>5292</v>
      </c>
    </row>
    <row r="3666" spans="1:6" x14ac:dyDescent="0.25">
      <c r="A3666" s="4" t="str">
        <f>CONCATENATE("3071-0000-3402","")</f>
        <v>3071-0000-3402</v>
      </c>
      <c r="B3666" s="4" t="s">
        <v>1559</v>
      </c>
      <c r="C3666" s="5">
        <v>41489</v>
      </c>
      <c r="D3666" s="5">
        <v>41549</v>
      </c>
      <c r="E3666" s="4" t="s">
        <v>1410</v>
      </c>
      <c r="F3666" s="4" t="s">
        <v>1411</v>
      </c>
    </row>
    <row r="3667" spans="1:6" x14ac:dyDescent="0.25">
      <c r="A3667" s="4" t="str">
        <f>CONCATENATE("3071-0000-5337","")</f>
        <v>3071-0000-5337</v>
      </c>
      <c r="B3667" s="4" t="s">
        <v>6818</v>
      </c>
      <c r="C3667" s="5">
        <v>41489</v>
      </c>
      <c r="D3667" s="5">
        <v>41549</v>
      </c>
      <c r="E3667" s="4" t="s">
        <v>5185</v>
      </c>
      <c r="F3667" s="4" t="s">
        <v>5185</v>
      </c>
    </row>
    <row r="3668" spans="1:6" x14ac:dyDescent="0.25">
      <c r="A3668" s="4" t="str">
        <f>CONCATENATE("3071-0000-5246","")</f>
        <v>3071-0000-5246</v>
      </c>
      <c r="B3668" s="4" t="s">
        <v>6700</v>
      </c>
      <c r="C3668" s="5">
        <v>41489</v>
      </c>
      <c r="D3668" s="5">
        <v>41549</v>
      </c>
      <c r="E3668" s="4" t="s">
        <v>5185</v>
      </c>
      <c r="F3668" s="4" t="s">
        <v>5185</v>
      </c>
    </row>
    <row r="3669" spans="1:6" x14ac:dyDescent="0.25">
      <c r="A3669" s="4" t="str">
        <f>CONCATENATE("3071-0000-5405","")</f>
        <v>3071-0000-5405</v>
      </c>
      <c r="B3669" s="4" t="s">
        <v>6612</v>
      </c>
      <c r="C3669" s="5">
        <v>41489</v>
      </c>
      <c r="D3669" s="5">
        <v>41549</v>
      </c>
      <c r="E3669" s="4" t="s">
        <v>5185</v>
      </c>
      <c r="F3669" s="4" t="s">
        <v>5185</v>
      </c>
    </row>
    <row r="3670" spans="1:6" x14ac:dyDescent="0.25">
      <c r="A3670" s="4" t="str">
        <f>CONCATENATE("3071-0000-5483","")</f>
        <v>3071-0000-5483</v>
      </c>
      <c r="B3670" s="4" t="s">
        <v>6642</v>
      </c>
      <c r="C3670" s="5">
        <v>41489</v>
      </c>
      <c r="D3670" s="5">
        <v>41549</v>
      </c>
      <c r="E3670" s="4" t="s">
        <v>1410</v>
      </c>
      <c r="F3670" s="4" t="s">
        <v>6635</v>
      </c>
    </row>
    <row r="3671" spans="1:6" x14ac:dyDescent="0.25">
      <c r="A3671" s="4" t="str">
        <f>CONCATENATE("3071-0000-5293","")</f>
        <v>3071-0000-5293</v>
      </c>
      <c r="B3671" s="4" t="s">
        <v>6737</v>
      </c>
      <c r="C3671" s="5">
        <v>41489</v>
      </c>
      <c r="D3671" s="5">
        <v>41549</v>
      </c>
      <c r="E3671" s="4" t="s">
        <v>5185</v>
      </c>
      <c r="F3671" s="4" t="s">
        <v>5185</v>
      </c>
    </row>
    <row r="3672" spans="1:6" x14ac:dyDescent="0.25">
      <c r="A3672" s="4" t="str">
        <f>CONCATENATE("3071-0000-5294","")</f>
        <v>3071-0000-5294</v>
      </c>
      <c r="B3672" s="4" t="s">
        <v>6792</v>
      </c>
      <c r="C3672" s="5">
        <v>41489</v>
      </c>
      <c r="D3672" s="5">
        <v>41549</v>
      </c>
      <c r="E3672" s="4" t="s">
        <v>5185</v>
      </c>
      <c r="F3672" s="4" t="s">
        <v>5185</v>
      </c>
    </row>
    <row r="3673" spans="1:6" x14ac:dyDescent="0.25">
      <c r="A3673" s="4" t="str">
        <f>CONCATENATE("3071-0000-7319","")</f>
        <v>3071-0000-7319</v>
      </c>
      <c r="B3673" s="4" t="s">
        <v>4903</v>
      </c>
      <c r="C3673" s="5">
        <v>41489</v>
      </c>
      <c r="D3673" s="5">
        <v>41549</v>
      </c>
      <c r="E3673" s="4" t="s">
        <v>1410</v>
      </c>
      <c r="F3673" s="4" t="s">
        <v>4616</v>
      </c>
    </row>
    <row r="3674" spans="1:6" x14ac:dyDescent="0.25">
      <c r="A3674" s="4" t="str">
        <f>CONCATENATE("3071-0000-3367","")</f>
        <v>3071-0000-3367</v>
      </c>
      <c r="B3674" s="4" t="s">
        <v>1507</v>
      </c>
      <c r="C3674" s="5">
        <v>41489</v>
      </c>
      <c r="D3674" s="5">
        <v>41549</v>
      </c>
      <c r="E3674" s="4" t="s">
        <v>1410</v>
      </c>
      <c r="F3674" s="4" t="s">
        <v>1411</v>
      </c>
    </row>
    <row r="3675" spans="1:6" x14ac:dyDescent="0.25">
      <c r="A3675" s="4" t="str">
        <f>CONCATENATE("3071-0000-3671","")</f>
        <v>3071-0000-3671</v>
      </c>
      <c r="B3675" s="4" t="s">
        <v>1682</v>
      </c>
      <c r="C3675" s="5">
        <v>41489</v>
      </c>
      <c r="D3675" s="5">
        <v>41549</v>
      </c>
      <c r="E3675" s="4" t="s">
        <v>1410</v>
      </c>
      <c r="F3675" s="4" t="s">
        <v>1601</v>
      </c>
    </row>
    <row r="3676" spans="1:6" x14ac:dyDescent="0.25">
      <c r="A3676" s="4" t="str">
        <f>CONCATENATE("3071-0000-2127","")</f>
        <v>3071-0000-2127</v>
      </c>
      <c r="B3676" s="4" t="s">
        <v>3532</v>
      </c>
      <c r="C3676" s="5">
        <v>41489</v>
      </c>
      <c r="D3676" s="5">
        <v>41549</v>
      </c>
      <c r="E3676" s="4" t="s">
        <v>2944</v>
      </c>
      <c r="F3676" s="4" t="s">
        <v>2945</v>
      </c>
    </row>
    <row r="3677" spans="1:6" x14ac:dyDescent="0.25">
      <c r="A3677" s="4" t="str">
        <f>CONCATENATE("3071-0000-8930","")</f>
        <v>3071-0000-8930</v>
      </c>
      <c r="B3677" s="4" t="s">
        <v>5336</v>
      </c>
      <c r="C3677" s="5">
        <v>41489</v>
      </c>
      <c r="D3677" s="5">
        <v>41549</v>
      </c>
      <c r="E3677" s="4" t="s">
        <v>1410</v>
      </c>
      <c r="F3677" s="4" t="s">
        <v>4616</v>
      </c>
    </row>
    <row r="3678" spans="1:6" x14ac:dyDescent="0.25">
      <c r="A3678" s="4" t="str">
        <f>CONCATENATE("3071-0000-7993","")</f>
        <v>3071-0000-7993</v>
      </c>
      <c r="B3678" s="4" t="s">
        <v>5368</v>
      </c>
      <c r="C3678" s="5">
        <v>41489</v>
      </c>
      <c r="D3678" s="5">
        <v>41549</v>
      </c>
      <c r="E3678" s="4" t="s">
        <v>5185</v>
      </c>
      <c r="F3678" s="4" t="s">
        <v>5185</v>
      </c>
    </row>
    <row r="3679" spans="1:6" x14ac:dyDescent="0.25">
      <c r="A3679" s="4" t="str">
        <f>CONCATENATE("3071-0000-8922","")</f>
        <v>3071-0000-8922</v>
      </c>
      <c r="B3679" s="4" t="s">
        <v>5327</v>
      </c>
      <c r="C3679" s="5">
        <v>41489</v>
      </c>
      <c r="D3679" s="5">
        <v>41549</v>
      </c>
      <c r="E3679" s="4" t="s">
        <v>1410</v>
      </c>
      <c r="F3679" s="4" t="s">
        <v>4616</v>
      </c>
    </row>
    <row r="3680" spans="1:6" x14ac:dyDescent="0.25">
      <c r="A3680" s="4" t="str">
        <f>CONCATENATE("3071-0000-8990","")</f>
        <v>3071-0000-8990</v>
      </c>
      <c r="B3680" s="4" t="s">
        <v>6080</v>
      </c>
      <c r="C3680" s="5">
        <v>41489</v>
      </c>
      <c r="D3680" s="5">
        <v>41549</v>
      </c>
      <c r="E3680" s="4" t="s">
        <v>5185</v>
      </c>
      <c r="F3680" s="4" t="s">
        <v>5945</v>
      </c>
    </row>
    <row r="3681" spans="1:6" x14ac:dyDescent="0.25">
      <c r="A3681" s="4" t="str">
        <f>CONCATENATE("3071-0000-5014","")</f>
        <v>3071-0000-5014</v>
      </c>
      <c r="B3681" s="4" t="s">
        <v>9658</v>
      </c>
      <c r="C3681" s="5">
        <v>41489</v>
      </c>
      <c r="D3681" s="5">
        <v>41549</v>
      </c>
      <c r="E3681" s="4" t="s">
        <v>7069</v>
      </c>
      <c r="F3681" s="4" t="s">
        <v>9554</v>
      </c>
    </row>
    <row r="3682" spans="1:6" x14ac:dyDescent="0.25">
      <c r="A3682" s="4" t="str">
        <f>CONCATENATE("3071-0000-3343","")</f>
        <v>3071-0000-3343</v>
      </c>
      <c r="B3682" s="4" t="s">
        <v>1465</v>
      </c>
      <c r="C3682" s="5">
        <v>41489</v>
      </c>
      <c r="D3682" s="5">
        <v>41549</v>
      </c>
      <c r="E3682" s="4" t="s">
        <v>1410</v>
      </c>
      <c r="F3682" s="4" t="s">
        <v>1411</v>
      </c>
    </row>
    <row r="3683" spans="1:6" x14ac:dyDescent="0.25">
      <c r="A3683" s="4" t="str">
        <f>CONCATENATE("3071-0000-2703","")</f>
        <v>3071-0000-2703</v>
      </c>
      <c r="B3683" s="4" t="s">
        <v>3583</v>
      </c>
      <c r="C3683" s="5">
        <v>41489</v>
      </c>
      <c r="D3683" s="5">
        <v>41549</v>
      </c>
      <c r="E3683" s="4" t="s">
        <v>2944</v>
      </c>
      <c r="F3683" s="4" t="s">
        <v>3567</v>
      </c>
    </row>
    <row r="3684" spans="1:6" x14ac:dyDescent="0.25">
      <c r="A3684" s="4" t="str">
        <f>CONCATENATE("3071-0000-7194","")</f>
        <v>3071-0000-7194</v>
      </c>
      <c r="B3684" s="4" t="s">
        <v>5036</v>
      </c>
      <c r="C3684" s="5">
        <v>41489</v>
      </c>
      <c r="D3684" s="5">
        <v>41549</v>
      </c>
      <c r="E3684" s="4" t="s">
        <v>1410</v>
      </c>
      <c r="F3684" s="4" t="s">
        <v>1410</v>
      </c>
    </row>
    <row r="3685" spans="1:6" x14ac:dyDescent="0.25">
      <c r="A3685" s="4" t="str">
        <f>CONCATENATE("3071-0000-6751","")</f>
        <v>3071-0000-6751</v>
      </c>
      <c r="B3685" s="4" t="s">
        <v>8050</v>
      </c>
      <c r="C3685" s="5">
        <v>41489</v>
      </c>
      <c r="D3685" s="5">
        <v>41549</v>
      </c>
      <c r="E3685" s="4" t="s">
        <v>1410</v>
      </c>
      <c r="F3685" s="4" t="s">
        <v>4655</v>
      </c>
    </row>
    <row r="3686" spans="1:6" x14ac:dyDescent="0.25">
      <c r="A3686" s="4" t="str">
        <f>CONCATENATE("3071-0000-7447","")</f>
        <v>3071-0000-7447</v>
      </c>
      <c r="B3686" s="4" t="s">
        <v>4905</v>
      </c>
      <c r="C3686" s="5">
        <v>41489</v>
      </c>
      <c r="D3686" s="5">
        <v>41549</v>
      </c>
      <c r="E3686" s="4" t="s">
        <v>1410</v>
      </c>
      <c r="F3686" s="4" t="s">
        <v>4616</v>
      </c>
    </row>
    <row r="3687" spans="1:6" x14ac:dyDescent="0.25">
      <c r="A3687" s="4" t="str">
        <f>CONCATENATE("3071-0000-5689","")</f>
        <v>3071-0000-5689</v>
      </c>
      <c r="B3687" s="4" t="s">
        <v>7414</v>
      </c>
      <c r="C3687" s="5">
        <v>41489</v>
      </c>
      <c r="D3687" s="5">
        <v>41549</v>
      </c>
      <c r="E3687" s="4" t="s">
        <v>5185</v>
      </c>
      <c r="F3687" s="4" t="s">
        <v>5185</v>
      </c>
    </row>
    <row r="3688" spans="1:6" x14ac:dyDescent="0.25">
      <c r="A3688" s="4" t="str">
        <f>CONCATENATE("3071-0000-1315","")</f>
        <v>3071-0000-1315</v>
      </c>
      <c r="B3688" s="4" t="s">
        <v>2475</v>
      </c>
      <c r="C3688" s="5">
        <v>41489</v>
      </c>
      <c r="D3688" s="5">
        <v>41549</v>
      </c>
      <c r="E3688" s="4" t="s">
        <v>1381</v>
      </c>
      <c r="F3688" s="4" t="s">
        <v>2303</v>
      </c>
    </row>
    <row r="3689" spans="1:6" x14ac:dyDescent="0.25">
      <c r="A3689" s="4" t="str">
        <f>CONCATENATE("3071-0000-5473","")</f>
        <v>3071-0000-5473</v>
      </c>
      <c r="B3689" s="4" t="s">
        <v>6784</v>
      </c>
      <c r="C3689" s="5">
        <v>41489</v>
      </c>
      <c r="D3689" s="5">
        <v>41549</v>
      </c>
      <c r="E3689" s="4" t="s">
        <v>1410</v>
      </c>
      <c r="F3689" s="4" t="s">
        <v>6635</v>
      </c>
    </row>
    <row r="3690" spans="1:6" x14ac:dyDescent="0.25">
      <c r="A3690" s="4" t="str">
        <f>CONCATENATE("3071-0000-1467","")</f>
        <v>3071-0000-1467</v>
      </c>
      <c r="B3690" s="4" t="s">
        <v>2913</v>
      </c>
      <c r="C3690" s="5">
        <v>41489</v>
      </c>
      <c r="D3690" s="5">
        <v>41549</v>
      </c>
      <c r="E3690" s="4" t="s">
        <v>1381</v>
      </c>
      <c r="F3690" s="4" t="s">
        <v>2303</v>
      </c>
    </row>
    <row r="3691" spans="1:6" x14ac:dyDescent="0.25">
      <c r="A3691" s="4" t="str">
        <f>CONCATENATE("3071-0000-0484","")</f>
        <v>3071-0000-0484</v>
      </c>
      <c r="B3691" s="4" t="s">
        <v>703</v>
      </c>
      <c r="C3691" s="5">
        <v>41489</v>
      </c>
      <c r="D3691" s="5">
        <v>41549</v>
      </c>
      <c r="E3691" s="4" t="s">
        <v>7</v>
      </c>
      <c r="F3691" s="4" t="s">
        <v>7</v>
      </c>
    </row>
    <row r="3692" spans="1:6" x14ac:dyDescent="0.25">
      <c r="A3692" s="4" t="str">
        <f>CONCATENATE("3071-0000-7716","")</f>
        <v>3071-0000-7716</v>
      </c>
      <c r="B3692" s="4" t="s">
        <v>4894</v>
      </c>
      <c r="C3692" s="5">
        <v>41489</v>
      </c>
      <c r="D3692" s="5">
        <v>41549</v>
      </c>
      <c r="E3692" s="4" t="s">
        <v>1410</v>
      </c>
      <c r="F3692" s="4" t="s">
        <v>4616</v>
      </c>
    </row>
    <row r="3693" spans="1:6" x14ac:dyDescent="0.25">
      <c r="A3693" s="4" t="str">
        <f>CONCATENATE("3071-0000-7243","")</f>
        <v>3071-0000-7243</v>
      </c>
      <c r="B3693" s="4" t="s">
        <v>4911</v>
      </c>
      <c r="C3693" s="5">
        <v>41489</v>
      </c>
      <c r="D3693" s="5">
        <v>41549</v>
      </c>
      <c r="E3693" s="4" t="s">
        <v>1410</v>
      </c>
      <c r="F3693" s="4" t="s">
        <v>4616</v>
      </c>
    </row>
    <row r="3694" spans="1:6" x14ac:dyDescent="0.25">
      <c r="A3694" s="4" t="str">
        <f>CONCATENATE("3071-0000-5933","")</f>
        <v>3071-0000-5933</v>
      </c>
      <c r="B3694" s="4" t="s">
        <v>6939</v>
      </c>
      <c r="C3694" s="5">
        <v>41489</v>
      </c>
      <c r="D3694" s="5">
        <v>41549</v>
      </c>
      <c r="E3694" s="4" t="s">
        <v>5185</v>
      </c>
      <c r="F3694" s="4" t="s">
        <v>5185</v>
      </c>
    </row>
    <row r="3695" spans="1:6" x14ac:dyDescent="0.25">
      <c r="A3695" s="4" t="str">
        <f>CONCATENATE("3071-0000-8288","")</f>
        <v>3071-0000-8288</v>
      </c>
      <c r="B3695" s="4" t="s">
        <v>6227</v>
      </c>
      <c r="C3695" s="5">
        <v>41489</v>
      </c>
      <c r="D3695" s="5">
        <v>41549</v>
      </c>
      <c r="E3695" s="4" t="s">
        <v>5185</v>
      </c>
      <c r="F3695" s="4" t="s">
        <v>5185</v>
      </c>
    </row>
    <row r="3696" spans="1:6" x14ac:dyDescent="0.25">
      <c r="A3696" s="4" t="str">
        <f>CONCATENATE("3071-0000-8293","")</f>
        <v>3071-0000-8293</v>
      </c>
      <c r="B3696" s="4" t="s">
        <v>6233</v>
      </c>
      <c r="C3696" s="5">
        <v>41489</v>
      </c>
      <c r="D3696" s="5">
        <v>41549</v>
      </c>
      <c r="E3696" s="4" t="s">
        <v>5185</v>
      </c>
      <c r="F3696" s="4" t="s">
        <v>5185</v>
      </c>
    </row>
    <row r="3697" spans="1:6" x14ac:dyDescent="0.25">
      <c r="A3697" s="4" t="str">
        <f>CONCATENATE("3071-0000-7213","")</f>
        <v>3071-0000-7213</v>
      </c>
      <c r="B3697" s="4" t="s">
        <v>5022</v>
      </c>
      <c r="C3697" s="5">
        <v>41489</v>
      </c>
      <c r="D3697" s="5">
        <v>41549</v>
      </c>
      <c r="E3697" s="4" t="s">
        <v>1410</v>
      </c>
      <c r="F3697" s="4" t="s">
        <v>1410</v>
      </c>
    </row>
    <row r="3698" spans="1:6" x14ac:dyDescent="0.25">
      <c r="A3698" s="4" t="str">
        <f>CONCATENATE("3071-0000-7848","")</f>
        <v>3071-0000-7848</v>
      </c>
      <c r="B3698" s="4" t="s">
        <v>6195</v>
      </c>
      <c r="C3698" s="5">
        <v>41489</v>
      </c>
      <c r="D3698" s="5">
        <v>41549</v>
      </c>
      <c r="E3698" s="4" t="s">
        <v>5185</v>
      </c>
      <c r="F3698" s="4" t="s">
        <v>5185</v>
      </c>
    </row>
    <row r="3699" spans="1:6" x14ac:dyDescent="0.25">
      <c r="A3699" s="4" t="str">
        <f>CONCATENATE("3071-0000-5393","")</f>
        <v>3071-0000-5393</v>
      </c>
      <c r="B3699" s="4" t="s">
        <v>6676</v>
      </c>
      <c r="C3699" s="5">
        <v>41489</v>
      </c>
      <c r="D3699" s="5">
        <v>41549</v>
      </c>
      <c r="E3699" s="4" t="s">
        <v>5185</v>
      </c>
      <c r="F3699" s="4" t="s">
        <v>5185</v>
      </c>
    </row>
    <row r="3700" spans="1:6" x14ac:dyDescent="0.25">
      <c r="A3700" s="4" t="str">
        <f>CONCATENATE("3071-0000-1263","")</f>
        <v>3071-0000-1263</v>
      </c>
      <c r="B3700" s="4" t="s">
        <v>2355</v>
      </c>
      <c r="C3700" s="5">
        <v>41489</v>
      </c>
      <c r="D3700" s="5">
        <v>41549</v>
      </c>
      <c r="E3700" s="4" t="s">
        <v>1381</v>
      </c>
      <c r="F3700" s="4" t="s">
        <v>2303</v>
      </c>
    </row>
    <row r="3701" spans="1:6" x14ac:dyDescent="0.25">
      <c r="A3701" s="4" t="str">
        <f>CONCATENATE("3071-0000-8699","")</f>
        <v>3071-0000-8699</v>
      </c>
      <c r="B3701" s="4" t="s">
        <v>6491</v>
      </c>
      <c r="C3701" s="5">
        <v>41489</v>
      </c>
      <c r="D3701" s="5">
        <v>41549</v>
      </c>
      <c r="E3701" s="4" t="s">
        <v>5185</v>
      </c>
      <c r="F3701" s="4" t="s">
        <v>5292</v>
      </c>
    </row>
    <row r="3702" spans="1:6" x14ac:dyDescent="0.25">
      <c r="A3702" s="4" t="str">
        <f>CONCATENATE("3071-0000-9162","")</f>
        <v>3071-0000-9162</v>
      </c>
      <c r="B3702" s="4" t="s">
        <v>6044</v>
      </c>
      <c r="C3702" s="5">
        <v>41489</v>
      </c>
      <c r="D3702" s="5">
        <v>41549</v>
      </c>
      <c r="E3702" s="4" t="s">
        <v>5185</v>
      </c>
      <c r="F3702" s="4" t="s">
        <v>5945</v>
      </c>
    </row>
    <row r="3703" spans="1:6" x14ac:dyDescent="0.25">
      <c r="A3703" s="4" t="str">
        <f>CONCATENATE("3071-0000-8298","")</f>
        <v>3071-0000-8298</v>
      </c>
      <c r="B3703" s="4" t="s">
        <v>6238</v>
      </c>
      <c r="C3703" s="5">
        <v>41489</v>
      </c>
      <c r="D3703" s="5">
        <v>41549</v>
      </c>
      <c r="E3703" s="4" t="s">
        <v>5185</v>
      </c>
      <c r="F3703" s="4" t="s">
        <v>5185</v>
      </c>
    </row>
    <row r="3704" spans="1:6" x14ac:dyDescent="0.25">
      <c r="A3704" s="4" t="str">
        <f>CONCATENATE("3071-0000-4802","")</f>
        <v>3071-0000-4802</v>
      </c>
      <c r="B3704" s="4" t="s">
        <v>9691</v>
      </c>
      <c r="C3704" s="5">
        <v>41489</v>
      </c>
      <c r="D3704" s="5">
        <v>41549</v>
      </c>
      <c r="E3704" s="4" t="s">
        <v>1410</v>
      </c>
      <c r="F3704" s="4" t="s">
        <v>8696</v>
      </c>
    </row>
    <row r="3705" spans="1:6" x14ac:dyDescent="0.25">
      <c r="A3705" s="4" t="str">
        <f>CONCATENATE("3071-0000-0062","")</f>
        <v>3071-0000-0062</v>
      </c>
      <c r="B3705" s="4" t="s">
        <v>123</v>
      </c>
      <c r="C3705" s="5">
        <v>41489</v>
      </c>
      <c r="D3705" s="5">
        <v>41549</v>
      </c>
      <c r="E3705" s="4" t="s">
        <v>7</v>
      </c>
      <c r="F3705" s="4" t="s">
        <v>7</v>
      </c>
    </row>
    <row r="3706" spans="1:6" x14ac:dyDescent="0.25">
      <c r="A3706" s="4" t="str">
        <f>CONCATENATE("3071-0000-0605","")</f>
        <v>3071-0000-0605</v>
      </c>
      <c r="B3706" s="4" t="s">
        <v>344</v>
      </c>
      <c r="C3706" s="5">
        <v>41489</v>
      </c>
      <c r="D3706" s="5">
        <v>41549</v>
      </c>
      <c r="E3706" s="4" t="s">
        <v>7</v>
      </c>
      <c r="F3706" s="4" t="s">
        <v>7</v>
      </c>
    </row>
    <row r="3707" spans="1:6" x14ac:dyDescent="0.25">
      <c r="A3707" s="4" t="str">
        <f>CONCATENATE("3071-0000-0675","")</f>
        <v>3071-0000-0675</v>
      </c>
      <c r="B3707" s="4" t="s">
        <v>422</v>
      </c>
      <c r="C3707" s="5">
        <v>41489</v>
      </c>
      <c r="D3707" s="5">
        <v>41549</v>
      </c>
      <c r="E3707" s="4" t="s">
        <v>7</v>
      </c>
      <c r="F3707" s="4" t="s">
        <v>7</v>
      </c>
    </row>
    <row r="3708" spans="1:6" x14ac:dyDescent="0.25">
      <c r="A3708" s="4" t="str">
        <f>CONCATENATE("3071-0000-1316","")</f>
        <v>3071-0000-1316</v>
      </c>
      <c r="B3708" s="4" t="s">
        <v>2438</v>
      </c>
      <c r="C3708" s="5">
        <v>41489</v>
      </c>
      <c r="D3708" s="5">
        <v>41549</v>
      </c>
      <c r="E3708" s="4" t="s">
        <v>1381</v>
      </c>
      <c r="F3708" s="4" t="s">
        <v>2303</v>
      </c>
    </row>
    <row r="3709" spans="1:6" x14ac:dyDescent="0.25">
      <c r="A3709" s="4" t="str">
        <f>CONCATENATE("3071-0000-7161","")</f>
        <v>3071-0000-7161</v>
      </c>
      <c r="B3709" s="4" t="s">
        <v>5109</v>
      </c>
      <c r="C3709" s="5">
        <v>41489</v>
      </c>
      <c r="D3709" s="5">
        <v>41549</v>
      </c>
      <c r="E3709" s="4" t="s">
        <v>1410</v>
      </c>
      <c r="F3709" s="4" t="s">
        <v>1410</v>
      </c>
    </row>
    <row r="3710" spans="1:6" x14ac:dyDescent="0.25">
      <c r="A3710" s="4" t="str">
        <f>CONCATENATE("3071-0000-7180","")</f>
        <v>3071-0000-7180</v>
      </c>
      <c r="B3710" s="4" t="s">
        <v>5019</v>
      </c>
      <c r="C3710" s="5">
        <v>41489</v>
      </c>
      <c r="D3710" s="5">
        <v>41549</v>
      </c>
      <c r="E3710" s="4" t="s">
        <v>1410</v>
      </c>
      <c r="F3710" s="4" t="s">
        <v>1410</v>
      </c>
    </row>
    <row r="3711" spans="1:6" x14ac:dyDescent="0.25">
      <c r="A3711" s="4" t="str">
        <f>CONCATENATE("3071-0000-4505","")</f>
        <v>3071-0000-4505</v>
      </c>
      <c r="B3711" s="4" t="s">
        <v>9505</v>
      </c>
      <c r="C3711" s="5">
        <v>41489</v>
      </c>
      <c r="D3711" s="5">
        <v>41549</v>
      </c>
      <c r="E3711" s="4" t="s">
        <v>1410</v>
      </c>
      <c r="F3711" s="4" t="s">
        <v>8696</v>
      </c>
    </row>
    <row r="3712" spans="1:6" x14ac:dyDescent="0.25">
      <c r="A3712" s="4" t="str">
        <f>CONCATENATE("3071-0000-5077","")</f>
        <v>3071-0000-5077</v>
      </c>
      <c r="B3712" s="4" t="s">
        <v>9525</v>
      </c>
      <c r="C3712" s="5">
        <v>41489</v>
      </c>
      <c r="D3712" s="5">
        <v>41549</v>
      </c>
      <c r="E3712" s="4" t="s">
        <v>7069</v>
      </c>
      <c r="F3712" s="4" t="s">
        <v>9485</v>
      </c>
    </row>
    <row r="3713" spans="1:6" x14ac:dyDescent="0.25">
      <c r="A3713" s="4" t="str">
        <f>CONCATENATE("3071-0000-9091","")</f>
        <v>3071-0000-9091</v>
      </c>
      <c r="B3713" s="4" t="s">
        <v>5298</v>
      </c>
      <c r="C3713" s="5">
        <v>41489</v>
      </c>
      <c r="D3713" s="5">
        <v>41549</v>
      </c>
      <c r="E3713" s="4" t="s">
        <v>5185</v>
      </c>
      <c r="F3713" s="4" t="s">
        <v>5185</v>
      </c>
    </row>
    <row r="3714" spans="1:6" x14ac:dyDescent="0.25">
      <c r="A3714" s="4" t="str">
        <f>CONCATENATE("3071-0000-9090","")</f>
        <v>3071-0000-9090</v>
      </c>
      <c r="B3714" s="4" t="s">
        <v>5299</v>
      </c>
      <c r="C3714" s="5">
        <v>41489</v>
      </c>
      <c r="D3714" s="5">
        <v>41549</v>
      </c>
      <c r="E3714" s="4" t="s">
        <v>5185</v>
      </c>
      <c r="F3714" s="4" t="s">
        <v>5185</v>
      </c>
    </row>
    <row r="3715" spans="1:6" x14ac:dyDescent="0.25">
      <c r="A3715" s="4" t="str">
        <f>CONCATENATE("3071-0000-0127","")</f>
        <v>3071-0000-0127</v>
      </c>
      <c r="B3715" s="4" t="s">
        <v>271</v>
      </c>
      <c r="C3715" s="5">
        <v>41489</v>
      </c>
      <c r="D3715" s="5">
        <v>41549</v>
      </c>
      <c r="E3715" s="4" t="s">
        <v>7</v>
      </c>
      <c r="F3715" s="4" t="s">
        <v>7</v>
      </c>
    </row>
    <row r="3716" spans="1:6" x14ac:dyDescent="0.25">
      <c r="A3716" s="4" t="str">
        <f>CONCATENATE("3071-0000-2175","")</f>
        <v>3071-0000-2175</v>
      </c>
      <c r="B3716" s="4" t="s">
        <v>3652</v>
      </c>
      <c r="C3716" s="5">
        <v>41489</v>
      </c>
      <c r="D3716" s="5">
        <v>41549</v>
      </c>
      <c r="E3716" s="4" t="s">
        <v>2944</v>
      </c>
      <c r="F3716" s="4" t="s">
        <v>2945</v>
      </c>
    </row>
    <row r="3717" spans="1:6" x14ac:dyDescent="0.25">
      <c r="A3717" s="4" t="str">
        <f>CONCATENATE("3071-0000-2974","")</f>
        <v>3071-0000-2974</v>
      </c>
      <c r="B3717" s="4" t="s">
        <v>916</v>
      </c>
      <c r="C3717" s="5">
        <v>41489</v>
      </c>
      <c r="D3717" s="5">
        <v>41549</v>
      </c>
      <c r="E3717" s="4" t="s">
        <v>7</v>
      </c>
      <c r="F3717" s="4" t="s">
        <v>808</v>
      </c>
    </row>
    <row r="3718" spans="1:6" x14ac:dyDescent="0.25">
      <c r="A3718" s="4" t="str">
        <f>CONCATENATE("3071-0000-8366","")</f>
        <v>3071-0000-8366</v>
      </c>
      <c r="B3718" s="4" t="s">
        <v>5754</v>
      </c>
      <c r="C3718" s="5">
        <v>41489</v>
      </c>
      <c r="D3718" s="5">
        <v>41549</v>
      </c>
      <c r="E3718" s="4" t="s">
        <v>5185</v>
      </c>
      <c r="F3718" s="4" t="s">
        <v>5250</v>
      </c>
    </row>
    <row r="3719" spans="1:6" x14ac:dyDescent="0.25">
      <c r="A3719" s="4" t="str">
        <f>CONCATENATE("3071-0000-8480","")</f>
        <v>3071-0000-8480</v>
      </c>
      <c r="B3719" s="4" t="s">
        <v>6103</v>
      </c>
      <c r="C3719" s="5">
        <v>41489</v>
      </c>
      <c r="D3719" s="5">
        <v>41549</v>
      </c>
      <c r="E3719" s="4" t="s">
        <v>5185</v>
      </c>
      <c r="F3719" s="4" t="s">
        <v>5945</v>
      </c>
    </row>
    <row r="3720" spans="1:6" x14ac:dyDescent="0.25">
      <c r="A3720" s="4" t="str">
        <f>CONCATENATE("3071-0000-8518","")</f>
        <v>3071-0000-8518</v>
      </c>
      <c r="B3720" s="4" t="s">
        <v>5795</v>
      </c>
      <c r="C3720" s="5">
        <v>41489</v>
      </c>
      <c r="D3720" s="5">
        <v>41549</v>
      </c>
      <c r="E3720" s="4" t="s">
        <v>5185</v>
      </c>
      <c r="F3720" s="4" t="s">
        <v>5763</v>
      </c>
    </row>
    <row r="3721" spans="1:6" x14ac:dyDescent="0.25">
      <c r="A3721" s="4" t="str">
        <f>CONCATENATE("3071-0000-9119","")</f>
        <v>3071-0000-9119</v>
      </c>
      <c r="B3721" s="4" t="s">
        <v>5797</v>
      </c>
      <c r="C3721" s="5">
        <v>41489</v>
      </c>
      <c r="D3721" s="5">
        <v>41549</v>
      </c>
      <c r="E3721" s="4" t="s">
        <v>5185</v>
      </c>
      <c r="F3721" s="4" t="s">
        <v>5763</v>
      </c>
    </row>
    <row r="3722" spans="1:6" x14ac:dyDescent="0.25">
      <c r="A3722" s="4" t="str">
        <f>CONCATENATE("3071-0000-7721","")</f>
        <v>3071-0000-7721</v>
      </c>
      <c r="B3722" s="4" t="s">
        <v>5100</v>
      </c>
      <c r="C3722" s="5">
        <v>41489</v>
      </c>
      <c r="D3722" s="5">
        <v>41549</v>
      </c>
      <c r="E3722" s="4" t="s">
        <v>1410</v>
      </c>
      <c r="F3722" s="4" t="s">
        <v>4616</v>
      </c>
    </row>
    <row r="3723" spans="1:6" x14ac:dyDescent="0.25">
      <c r="A3723" s="4" t="str">
        <f>CONCATENATE("3071-0000-1194","")</f>
        <v>3071-0000-1194</v>
      </c>
      <c r="B3723" s="4" t="s">
        <v>2132</v>
      </c>
      <c r="C3723" s="5">
        <v>41489</v>
      </c>
      <c r="D3723" s="5">
        <v>41549</v>
      </c>
      <c r="E3723" s="4" t="s">
        <v>1857</v>
      </c>
      <c r="F3723" s="4" t="s">
        <v>2108</v>
      </c>
    </row>
    <row r="3724" spans="1:6" x14ac:dyDescent="0.25">
      <c r="A3724" s="4" t="str">
        <f>CONCATENATE("3071-0000-0981","")</f>
        <v>3071-0000-0981</v>
      </c>
      <c r="B3724" s="4" t="s">
        <v>2213</v>
      </c>
      <c r="C3724" s="5">
        <v>41489</v>
      </c>
      <c r="D3724" s="5">
        <v>41549</v>
      </c>
      <c r="E3724" s="4" t="s">
        <v>1857</v>
      </c>
      <c r="F3724" s="4" t="s">
        <v>1857</v>
      </c>
    </row>
    <row r="3725" spans="1:6" x14ac:dyDescent="0.25">
      <c r="A3725" s="4" t="str">
        <f>CONCATENATE("3071-0000-8037","")</f>
        <v>3071-0000-8037</v>
      </c>
      <c r="B3725" s="4" t="s">
        <v>5649</v>
      </c>
      <c r="C3725" s="5">
        <v>41489</v>
      </c>
      <c r="D3725" s="5">
        <v>41549</v>
      </c>
      <c r="E3725" s="4" t="s">
        <v>5185</v>
      </c>
      <c r="F3725" s="4" t="s">
        <v>5185</v>
      </c>
    </row>
    <row r="3726" spans="1:6" x14ac:dyDescent="0.25">
      <c r="A3726" s="4" t="str">
        <f>CONCATENATE("3071-0000-4395","")</f>
        <v>3071-0000-4395</v>
      </c>
      <c r="B3726" s="4" t="s">
        <v>9251</v>
      </c>
      <c r="C3726" s="5">
        <v>41489</v>
      </c>
      <c r="D3726" s="5">
        <v>41549</v>
      </c>
      <c r="E3726" s="4" t="s">
        <v>1410</v>
      </c>
      <c r="F3726" s="4" t="s">
        <v>8696</v>
      </c>
    </row>
    <row r="3727" spans="1:6" x14ac:dyDescent="0.25">
      <c r="A3727" s="4" t="str">
        <f>CONCATENATE("3071-0000-9140","")</f>
        <v>3071-0000-9140</v>
      </c>
      <c r="B3727" s="4" t="s">
        <v>5247</v>
      </c>
      <c r="C3727" s="5">
        <v>41489</v>
      </c>
      <c r="D3727" s="5">
        <v>41549</v>
      </c>
      <c r="E3727" s="4" t="s">
        <v>5185</v>
      </c>
      <c r="F3727" s="4" t="s">
        <v>5185</v>
      </c>
    </row>
    <row r="3728" spans="1:6" x14ac:dyDescent="0.25">
      <c r="A3728" s="4" t="str">
        <f>CONCATENATE("3071-0000-5272","")</f>
        <v>3071-0000-5272</v>
      </c>
      <c r="B3728" s="4" t="s">
        <v>6741</v>
      </c>
      <c r="C3728" s="5">
        <v>41489</v>
      </c>
      <c r="D3728" s="5">
        <v>41549</v>
      </c>
      <c r="E3728" s="4" t="s">
        <v>5185</v>
      </c>
      <c r="F3728" s="4" t="s">
        <v>5185</v>
      </c>
    </row>
    <row r="3729" spans="1:6" x14ac:dyDescent="0.25">
      <c r="A3729" s="4" t="str">
        <f>CONCATENATE("3071-0000-5306","")</f>
        <v>3071-0000-5306</v>
      </c>
      <c r="B3729" s="4" t="s">
        <v>6764</v>
      </c>
      <c r="C3729" s="5">
        <v>41489</v>
      </c>
      <c r="D3729" s="5">
        <v>41549</v>
      </c>
      <c r="E3729" s="4" t="s">
        <v>5185</v>
      </c>
      <c r="F3729" s="4" t="s">
        <v>5185</v>
      </c>
    </row>
    <row r="3730" spans="1:6" x14ac:dyDescent="0.25">
      <c r="A3730" s="4" t="str">
        <f>CONCATENATE("3071-0000-3731","")</f>
        <v>3071-0000-3731</v>
      </c>
      <c r="B3730" s="4" t="s">
        <v>1659</v>
      </c>
      <c r="C3730" s="5">
        <v>41489</v>
      </c>
      <c r="D3730" s="5">
        <v>41549</v>
      </c>
      <c r="E3730" s="4" t="s">
        <v>1410</v>
      </c>
      <c r="F3730" s="4" t="s">
        <v>1601</v>
      </c>
    </row>
    <row r="3731" spans="1:6" x14ac:dyDescent="0.25">
      <c r="A3731" s="4" t="str">
        <f>CONCATENATE("3071-0000-3558","")</f>
        <v>3071-0000-3558</v>
      </c>
      <c r="B3731" s="4" t="s">
        <v>1533</v>
      </c>
      <c r="C3731" s="5">
        <v>41489</v>
      </c>
      <c r="D3731" s="5">
        <v>41549</v>
      </c>
      <c r="E3731" s="4" t="s">
        <v>1410</v>
      </c>
      <c r="F3731" s="4" t="s">
        <v>1411</v>
      </c>
    </row>
    <row r="3732" spans="1:6" x14ac:dyDescent="0.25">
      <c r="A3732" s="4" t="str">
        <f>CONCATENATE("3071-0000-1617","")</f>
        <v>3071-0000-1617</v>
      </c>
      <c r="B3732" s="4" t="s">
        <v>2365</v>
      </c>
      <c r="C3732" s="5">
        <v>41489</v>
      </c>
      <c r="D3732" s="5">
        <v>41549</v>
      </c>
      <c r="E3732" s="4" t="s">
        <v>1381</v>
      </c>
      <c r="F3732" s="4" t="s">
        <v>2303</v>
      </c>
    </row>
    <row r="3733" spans="1:6" x14ac:dyDescent="0.25">
      <c r="A3733" s="4" t="str">
        <f>CONCATENATE("3071-0000-1698","")</f>
        <v>3071-0000-1698</v>
      </c>
      <c r="B3733" s="4" t="s">
        <v>2889</v>
      </c>
      <c r="C3733" s="5">
        <v>41489</v>
      </c>
      <c r="D3733" s="5">
        <v>41549</v>
      </c>
      <c r="E3733" s="4" t="s">
        <v>1381</v>
      </c>
      <c r="F3733" s="4" t="s">
        <v>2840</v>
      </c>
    </row>
    <row r="3734" spans="1:6" x14ac:dyDescent="0.25">
      <c r="A3734" s="4" t="str">
        <f>CONCATENATE("3071-0000-3173","")</f>
        <v>3071-0000-3173</v>
      </c>
      <c r="B3734" s="4" t="s">
        <v>1283</v>
      </c>
      <c r="C3734" s="5">
        <v>41489</v>
      </c>
      <c r="D3734" s="5">
        <v>41549</v>
      </c>
      <c r="E3734" s="4" t="s">
        <v>7</v>
      </c>
      <c r="F3734" s="4" t="s">
        <v>808</v>
      </c>
    </row>
    <row r="3735" spans="1:6" x14ac:dyDescent="0.25">
      <c r="A3735" s="4" t="str">
        <f>CONCATENATE("3071-0000-5319","")</f>
        <v>3071-0000-5319</v>
      </c>
      <c r="B3735" s="4" t="s">
        <v>6722</v>
      </c>
      <c r="C3735" s="5">
        <v>41489</v>
      </c>
      <c r="D3735" s="5">
        <v>41549</v>
      </c>
      <c r="E3735" s="4" t="s">
        <v>5185</v>
      </c>
      <c r="F3735" s="4" t="s">
        <v>5185</v>
      </c>
    </row>
    <row r="3736" spans="1:6" x14ac:dyDescent="0.25">
      <c r="A3736" s="4" t="str">
        <f>CONCATENATE("3071-0000-3728","")</f>
        <v>3071-0000-3728</v>
      </c>
      <c r="B3736" s="4" t="s">
        <v>1656</v>
      </c>
      <c r="C3736" s="5">
        <v>41489</v>
      </c>
      <c r="D3736" s="5">
        <v>41549</v>
      </c>
      <c r="E3736" s="4" t="s">
        <v>1410</v>
      </c>
      <c r="F3736" s="4" t="s">
        <v>1601</v>
      </c>
    </row>
    <row r="3737" spans="1:6" x14ac:dyDescent="0.25">
      <c r="A3737" s="4" t="str">
        <f>CONCATENATE("3071-0000-5504","")</f>
        <v>3071-0000-5504</v>
      </c>
      <c r="B3737" s="4" t="s">
        <v>6638</v>
      </c>
      <c r="C3737" s="5">
        <v>41489</v>
      </c>
      <c r="D3737" s="5">
        <v>41549</v>
      </c>
      <c r="E3737" s="4" t="s">
        <v>1410</v>
      </c>
      <c r="F3737" s="4" t="s">
        <v>6635</v>
      </c>
    </row>
    <row r="3738" spans="1:6" x14ac:dyDescent="0.25">
      <c r="A3738" s="4" t="str">
        <f>CONCATENATE("3071-0000-8002","")</f>
        <v>3071-0000-8002</v>
      </c>
      <c r="B3738" s="4" t="s">
        <v>5552</v>
      </c>
      <c r="C3738" s="5">
        <v>41489</v>
      </c>
      <c r="D3738" s="5">
        <v>41549</v>
      </c>
      <c r="E3738" s="4" t="s">
        <v>5185</v>
      </c>
      <c r="F3738" s="4" t="s">
        <v>5250</v>
      </c>
    </row>
    <row r="3739" spans="1:6" x14ac:dyDescent="0.25">
      <c r="A3739" s="4" t="str">
        <f>CONCATENATE("3071-0000-7821","")</f>
        <v>3071-0000-7821</v>
      </c>
      <c r="B3739" s="4" t="s">
        <v>5472</v>
      </c>
      <c r="C3739" s="5">
        <v>41489</v>
      </c>
      <c r="D3739" s="5">
        <v>41549</v>
      </c>
      <c r="E3739" s="4" t="s">
        <v>5185</v>
      </c>
      <c r="F3739" s="4" t="s">
        <v>5185</v>
      </c>
    </row>
    <row r="3740" spans="1:6" x14ac:dyDescent="0.25">
      <c r="A3740" s="4" t="str">
        <f>CONCATENATE("3071-0000-9365","")</f>
        <v>3071-0000-9365</v>
      </c>
      <c r="B3740" s="4" t="s">
        <v>8688</v>
      </c>
      <c r="C3740" s="5">
        <v>41489</v>
      </c>
      <c r="D3740" s="5">
        <v>41549</v>
      </c>
      <c r="E3740" s="4" t="s">
        <v>1410</v>
      </c>
      <c r="F3740" s="4" t="s">
        <v>4459</v>
      </c>
    </row>
    <row r="3741" spans="1:6" x14ac:dyDescent="0.25">
      <c r="A3741" s="4" t="str">
        <f>CONCATENATE("3071-0000-3422","")</f>
        <v>3071-0000-3422</v>
      </c>
      <c r="B3741" s="4" t="s">
        <v>1609</v>
      </c>
      <c r="C3741" s="5">
        <v>41489</v>
      </c>
      <c r="D3741" s="5">
        <v>41549</v>
      </c>
      <c r="E3741" s="4" t="s">
        <v>1410</v>
      </c>
      <c r="F3741" s="4" t="s">
        <v>1411</v>
      </c>
    </row>
    <row r="3742" spans="1:6" x14ac:dyDescent="0.25">
      <c r="A3742" s="4" t="str">
        <f>CONCATENATE("3071-0000-0048","")</f>
        <v>3071-0000-0048</v>
      </c>
      <c r="B3742" s="4" t="s">
        <v>92</v>
      </c>
      <c r="C3742" s="5">
        <v>41489</v>
      </c>
      <c r="D3742" s="5">
        <v>41549</v>
      </c>
      <c r="E3742" s="4" t="s">
        <v>7</v>
      </c>
      <c r="F3742" s="4" t="s">
        <v>7</v>
      </c>
    </row>
    <row r="3743" spans="1:6" x14ac:dyDescent="0.25">
      <c r="A3743" s="4" t="str">
        <f>CONCATENATE("3071-0000-6978","")</f>
        <v>3071-0000-6978</v>
      </c>
      <c r="B3743" s="4" t="s">
        <v>4477</v>
      </c>
      <c r="C3743" s="5">
        <v>41489</v>
      </c>
      <c r="D3743" s="5">
        <v>41549</v>
      </c>
      <c r="E3743" s="4" t="s">
        <v>1410</v>
      </c>
      <c r="F3743" s="4" t="s">
        <v>1410</v>
      </c>
    </row>
    <row r="3744" spans="1:6" x14ac:dyDescent="0.25">
      <c r="A3744" s="4" t="str">
        <f>CONCATENATE("3071-0000-1888","")</f>
        <v>3071-0000-1888</v>
      </c>
      <c r="B3744" s="4" t="s">
        <v>2951</v>
      </c>
      <c r="C3744" s="5">
        <v>41489</v>
      </c>
      <c r="D3744" s="5">
        <v>41549</v>
      </c>
      <c r="E3744" s="4" t="s">
        <v>2944</v>
      </c>
      <c r="F3744" s="4" t="s">
        <v>2945</v>
      </c>
    </row>
    <row r="3745" spans="1:6" x14ac:dyDescent="0.25">
      <c r="A3745" s="4" t="str">
        <f>CONCATENATE("3071-0000-2019","")</f>
        <v>3071-0000-2019</v>
      </c>
      <c r="B3745" s="4" t="s">
        <v>3289</v>
      </c>
      <c r="C3745" s="5">
        <v>41489</v>
      </c>
      <c r="D3745" s="5">
        <v>41549</v>
      </c>
      <c r="E3745" s="4" t="s">
        <v>2944</v>
      </c>
      <c r="F3745" s="4" t="s">
        <v>2945</v>
      </c>
    </row>
    <row r="3746" spans="1:6" x14ac:dyDescent="0.25">
      <c r="A3746" s="4" t="str">
        <f>CONCATENATE("3071-0000-5049","")</f>
        <v>3071-0000-5049</v>
      </c>
      <c r="B3746" s="4" t="s">
        <v>9661</v>
      </c>
      <c r="C3746" s="5">
        <v>41489</v>
      </c>
      <c r="D3746" s="5">
        <v>41549</v>
      </c>
      <c r="E3746" s="4" t="s">
        <v>7069</v>
      </c>
      <c r="F3746" s="4" t="s">
        <v>9554</v>
      </c>
    </row>
    <row r="3747" spans="1:6" x14ac:dyDescent="0.25">
      <c r="A3747" s="4" t="str">
        <f>CONCATENATE("3071-0000-0400","")</f>
        <v>3071-0000-0400</v>
      </c>
      <c r="B3747" s="4" t="s">
        <v>689</v>
      </c>
      <c r="C3747" s="5">
        <v>41489</v>
      </c>
      <c r="D3747" s="5">
        <v>41549</v>
      </c>
      <c r="E3747" s="4" t="s">
        <v>7</v>
      </c>
      <c r="F3747" s="4" t="s">
        <v>7</v>
      </c>
    </row>
    <row r="3748" spans="1:6" x14ac:dyDescent="0.25">
      <c r="A3748" s="4" t="str">
        <f>CONCATENATE("3071-0000-4789","")</f>
        <v>3071-0000-4789</v>
      </c>
      <c r="B3748" s="4" t="s">
        <v>9126</v>
      </c>
      <c r="C3748" s="5">
        <v>41489</v>
      </c>
      <c r="D3748" s="5">
        <v>41549</v>
      </c>
      <c r="E3748" s="4" t="s">
        <v>1410</v>
      </c>
      <c r="F3748" s="4" t="s">
        <v>8696</v>
      </c>
    </row>
    <row r="3749" spans="1:6" x14ac:dyDescent="0.25">
      <c r="A3749" s="4" t="str">
        <f>CONCATENATE("3071-0000-3180","")</f>
        <v>3071-0000-3180</v>
      </c>
      <c r="B3749" s="4" t="s">
        <v>1247</v>
      </c>
      <c r="C3749" s="5">
        <v>41489</v>
      </c>
      <c r="D3749" s="5">
        <v>41549</v>
      </c>
      <c r="E3749" s="4" t="s">
        <v>7</v>
      </c>
      <c r="F3749" s="4" t="s">
        <v>808</v>
      </c>
    </row>
    <row r="3750" spans="1:6" x14ac:dyDescent="0.25">
      <c r="A3750" s="4" t="str">
        <f>CONCATENATE("3071-0000-0375","")</f>
        <v>3071-0000-0375</v>
      </c>
      <c r="B3750" s="4" t="s">
        <v>533</v>
      </c>
      <c r="C3750" s="5">
        <v>41489</v>
      </c>
      <c r="D3750" s="5">
        <v>41549</v>
      </c>
      <c r="E3750" s="4" t="s">
        <v>7</v>
      </c>
      <c r="F3750" s="4" t="s">
        <v>7</v>
      </c>
    </row>
    <row r="3751" spans="1:6" x14ac:dyDescent="0.25">
      <c r="A3751" s="4" t="str">
        <f>CONCATENATE("3071-0000-5481","")</f>
        <v>3071-0000-5481</v>
      </c>
      <c r="B3751" s="4" t="s">
        <v>6733</v>
      </c>
      <c r="C3751" s="5">
        <v>41489</v>
      </c>
      <c r="D3751" s="5">
        <v>41549</v>
      </c>
      <c r="E3751" s="4" t="s">
        <v>1410</v>
      </c>
      <c r="F3751" s="4" t="s">
        <v>6635</v>
      </c>
    </row>
    <row r="3752" spans="1:6" x14ac:dyDescent="0.25">
      <c r="A3752" s="4" t="str">
        <f>CONCATENATE("3071-0000-1239","")</f>
        <v>3071-0000-1239</v>
      </c>
      <c r="B3752" s="4" t="s">
        <v>2322</v>
      </c>
      <c r="C3752" s="5">
        <v>41489</v>
      </c>
      <c r="D3752" s="5">
        <v>41549</v>
      </c>
      <c r="E3752" s="4" t="s">
        <v>1381</v>
      </c>
      <c r="F3752" s="4" t="s">
        <v>2303</v>
      </c>
    </row>
    <row r="3753" spans="1:6" x14ac:dyDescent="0.25">
      <c r="A3753" s="4" t="str">
        <f>CONCATENATE("3071-0000-9097","")</f>
        <v>3071-0000-9097</v>
      </c>
      <c r="B3753" s="4" t="s">
        <v>5265</v>
      </c>
      <c r="C3753" s="5">
        <v>41489</v>
      </c>
      <c r="D3753" s="5">
        <v>41549</v>
      </c>
      <c r="E3753" s="4" t="s">
        <v>5185</v>
      </c>
      <c r="F3753" s="4" t="s">
        <v>5185</v>
      </c>
    </row>
    <row r="3754" spans="1:6" x14ac:dyDescent="0.25">
      <c r="A3754" s="4" t="str">
        <f>CONCATENATE("3071-0000-1294","")</f>
        <v>3071-0000-1294</v>
      </c>
      <c r="B3754" s="4" t="s">
        <v>2406</v>
      </c>
      <c r="C3754" s="5">
        <v>41489</v>
      </c>
      <c r="D3754" s="5">
        <v>41549</v>
      </c>
      <c r="E3754" s="4" t="s">
        <v>1381</v>
      </c>
      <c r="F3754" s="4" t="s">
        <v>2303</v>
      </c>
    </row>
    <row r="3755" spans="1:6" x14ac:dyDescent="0.25">
      <c r="A3755" s="4" t="str">
        <f>CONCATENATE("3071-0000-7344","")</f>
        <v>3071-0000-7344</v>
      </c>
      <c r="B3755" s="4" t="s">
        <v>4908</v>
      </c>
      <c r="C3755" s="5">
        <v>41489</v>
      </c>
      <c r="D3755" s="5">
        <v>41549</v>
      </c>
      <c r="E3755" s="4" t="s">
        <v>1410</v>
      </c>
      <c r="F3755" s="4" t="s">
        <v>1410</v>
      </c>
    </row>
    <row r="3756" spans="1:6" x14ac:dyDescent="0.25">
      <c r="A3756" s="4" t="str">
        <f>CONCATENATE("3071-0000-5773","")</f>
        <v>3071-0000-5773</v>
      </c>
      <c r="B3756" s="4" t="s">
        <v>7004</v>
      </c>
      <c r="C3756" s="5">
        <v>41489</v>
      </c>
      <c r="D3756" s="5">
        <v>41549</v>
      </c>
      <c r="E3756" s="4" t="s">
        <v>5185</v>
      </c>
      <c r="F3756" s="4" t="s">
        <v>5185</v>
      </c>
    </row>
    <row r="3757" spans="1:6" x14ac:dyDescent="0.25">
      <c r="A3757" s="4" t="str">
        <f>CONCATENATE("3071-0000-8478","")</f>
        <v>3071-0000-8478</v>
      </c>
      <c r="B3757" s="4" t="s">
        <v>6059</v>
      </c>
      <c r="C3757" s="5">
        <v>41489</v>
      </c>
      <c r="D3757" s="5">
        <v>41549</v>
      </c>
      <c r="E3757" s="4" t="s">
        <v>5185</v>
      </c>
      <c r="F3757" s="4" t="s">
        <v>5945</v>
      </c>
    </row>
    <row r="3758" spans="1:6" x14ac:dyDescent="0.25">
      <c r="A3758" s="4" t="str">
        <f>CONCATENATE("3071-0000-0006","")</f>
        <v>3071-0000-0006</v>
      </c>
      <c r="B3758" s="4" t="s">
        <v>12</v>
      </c>
      <c r="C3758" s="5">
        <v>41489</v>
      </c>
      <c r="D3758" s="5">
        <v>41549</v>
      </c>
      <c r="E3758" s="4" t="s">
        <v>7</v>
      </c>
      <c r="F3758" s="4" t="s">
        <v>7</v>
      </c>
    </row>
    <row r="3759" spans="1:6" x14ac:dyDescent="0.25">
      <c r="A3759" s="4" t="str">
        <f>CONCATENATE("3071-0000-1272","")</f>
        <v>3071-0000-1272</v>
      </c>
      <c r="B3759" s="4" t="s">
        <v>2372</v>
      </c>
      <c r="C3759" s="5">
        <v>41489</v>
      </c>
      <c r="D3759" s="5">
        <v>41549</v>
      </c>
      <c r="E3759" s="4" t="s">
        <v>1381</v>
      </c>
      <c r="F3759" s="4" t="s">
        <v>2303</v>
      </c>
    </row>
    <row r="3760" spans="1:6" x14ac:dyDescent="0.25">
      <c r="A3760" s="4" t="str">
        <f>CONCATENATE("3071-0000-4326","")</f>
        <v>3071-0000-4326</v>
      </c>
      <c r="B3760" s="4" t="s">
        <v>8867</v>
      </c>
      <c r="C3760" s="5">
        <v>41489</v>
      </c>
      <c r="D3760" s="5">
        <v>41549</v>
      </c>
      <c r="E3760" s="4" t="s">
        <v>1410</v>
      </c>
      <c r="F3760" s="4" t="s">
        <v>8696</v>
      </c>
    </row>
    <row r="3761" spans="1:6" x14ac:dyDescent="0.25">
      <c r="A3761" s="4" t="str">
        <f>CONCATENATE("3071-0000-9133","")</f>
        <v>3071-0000-9133</v>
      </c>
      <c r="B3761" s="4" t="s">
        <v>6438</v>
      </c>
      <c r="C3761" s="5">
        <v>41489</v>
      </c>
      <c r="D3761" s="5">
        <v>41549</v>
      </c>
      <c r="E3761" s="4" t="s">
        <v>5185</v>
      </c>
      <c r="F3761" s="4" t="s">
        <v>5292</v>
      </c>
    </row>
    <row r="3762" spans="1:6" x14ac:dyDescent="0.25">
      <c r="A3762" s="4" t="str">
        <f>CONCATENATE("3071-0000-8858","")</f>
        <v>3071-0000-8858</v>
      </c>
      <c r="B3762" s="4" t="s">
        <v>6486</v>
      </c>
      <c r="C3762" s="5">
        <v>41489</v>
      </c>
      <c r="D3762" s="5">
        <v>41549</v>
      </c>
      <c r="E3762" s="4" t="s">
        <v>5185</v>
      </c>
      <c r="F3762" s="4" t="s">
        <v>5292</v>
      </c>
    </row>
    <row r="3763" spans="1:6" x14ac:dyDescent="0.25">
      <c r="A3763" s="4" t="str">
        <f>CONCATENATE("3071-0000-7300","")</f>
        <v>3071-0000-7300</v>
      </c>
      <c r="B3763" s="4" t="s">
        <v>4861</v>
      </c>
      <c r="C3763" s="5">
        <v>41489</v>
      </c>
      <c r="D3763" s="5">
        <v>41549</v>
      </c>
      <c r="E3763" s="4" t="s">
        <v>1410</v>
      </c>
      <c r="F3763" s="4" t="s">
        <v>1410</v>
      </c>
    </row>
    <row r="3764" spans="1:6" x14ac:dyDescent="0.25">
      <c r="A3764" s="4" t="str">
        <f>CONCATENATE("3071-0000-2141","")</f>
        <v>3071-0000-2141</v>
      </c>
      <c r="B3764" s="4" t="s">
        <v>3589</v>
      </c>
      <c r="C3764" s="5">
        <v>41489</v>
      </c>
      <c r="D3764" s="5">
        <v>41549</v>
      </c>
      <c r="E3764" s="4" t="s">
        <v>2944</v>
      </c>
      <c r="F3764" s="4" t="s">
        <v>2945</v>
      </c>
    </row>
    <row r="3765" spans="1:6" x14ac:dyDescent="0.25">
      <c r="A3765" s="4" t="str">
        <f>CONCATENATE("3071-0000-8559","")</f>
        <v>3071-0000-8559</v>
      </c>
      <c r="B3765" s="4" t="s">
        <v>5724</v>
      </c>
      <c r="C3765" s="5">
        <v>41489</v>
      </c>
      <c r="D3765" s="5">
        <v>41549</v>
      </c>
      <c r="E3765" s="4" t="s">
        <v>5185</v>
      </c>
      <c r="F3765" s="4" t="s">
        <v>5250</v>
      </c>
    </row>
    <row r="3766" spans="1:6" x14ac:dyDescent="0.25">
      <c r="A3766" s="4" t="str">
        <f>CONCATENATE("3071-0000-8992","")</f>
        <v>3071-0000-8992</v>
      </c>
      <c r="B3766" s="4" t="s">
        <v>6107</v>
      </c>
      <c r="C3766" s="5">
        <v>41489</v>
      </c>
      <c r="D3766" s="5">
        <v>41549</v>
      </c>
      <c r="E3766" s="4" t="s">
        <v>5185</v>
      </c>
      <c r="F3766" s="4" t="s">
        <v>5945</v>
      </c>
    </row>
    <row r="3767" spans="1:6" x14ac:dyDescent="0.25">
      <c r="A3767" s="4" t="str">
        <f>CONCATENATE("3071-0000-1660","")</f>
        <v>3071-0000-1660</v>
      </c>
      <c r="B3767" s="4" t="s">
        <v>2941</v>
      </c>
      <c r="C3767" s="5">
        <v>41489</v>
      </c>
      <c r="D3767" s="5">
        <v>41549</v>
      </c>
      <c r="E3767" s="4" t="s">
        <v>1381</v>
      </c>
      <c r="F3767" s="4" t="s">
        <v>2662</v>
      </c>
    </row>
    <row r="3768" spans="1:6" x14ac:dyDescent="0.25">
      <c r="A3768" s="4" t="str">
        <f>CONCATENATE("3071-0000-1789","")</f>
        <v>3071-0000-1789</v>
      </c>
      <c r="B3768" s="4" t="s">
        <v>2354</v>
      </c>
      <c r="C3768" s="5">
        <v>41489</v>
      </c>
      <c r="D3768" s="5">
        <v>41549</v>
      </c>
      <c r="E3768" s="4" t="s">
        <v>1381</v>
      </c>
      <c r="F3768" s="4" t="s">
        <v>2319</v>
      </c>
    </row>
    <row r="3769" spans="1:6" x14ac:dyDescent="0.25">
      <c r="A3769" s="4" t="str">
        <f>CONCATENATE("3071-0000-6878","")</f>
        <v>3071-0000-6878</v>
      </c>
      <c r="B3769" s="4" t="s">
        <v>4498</v>
      </c>
      <c r="C3769" s="5">
        <v>41489</v>
      </c>
      <c r="D3769" s="5">
        <v>41549</v>
      </c>
      <c r="E3769" s="4" t="s">
        <v>1410</v>
      </c>
      <c r="F3769" s="4" t="s">
        <v>1410</v>
      </c>
    </row>
    <row r="3770" spans="1:6" x14ac:dyDescent="0.25">
      <c r="A3770" s="4" t="str">
        <f>CONCATENATE("3071-0000-7474","")</f>
        <v>3071-0000-7474</v>
      </c>
      <c r="B3770" s="4" t="s">
        <v>4907</v>
      </c>
      <c r="C3770" s="5">
        <v>41489</v>
      </c>
      <c r="D3770" s="5">
        <v>41549</v>
      </c>
      <c r="E3770" s="4" t="s">
        <v>1410</v>
      </c>
      <c r="F3770" s="4" t="s">
        <v>1410</v>
      </c>
    </row>
    <row r="3771" spans="1:6" x14ac:dyDescent="0.25">
      <c r="A3771" s="4" t="str">
        <f>CONCATENATE("3071-0000-8463","")</f>
        <v>3071-0000-8463</v>
      </c>
      <c r="B3771" s="4" t="s">
        <v>6053</v>
      </c>
      <c r="C3771" s="5">
        <v>41489</v>
      </c>
      <c r="D3771" s="5">
        <v>41549</v>
      </c>
      <c r="E3771" s="4" t="s">
        <v>5185</v>
      </c>
      <c r="F3771" s="4" t="s">
        <v>5945</v>
      </c>
    </row>
    <row r="3772" spans="1:6" x14ac:dyDescent="0.25">
      <c r="A3772" s="4" t="str">
        <f>CONCATENATE("3071-0000-2607","")</f>
        <v>3071-0000-2607</v>
      </c>
      <c r="B3772" s="4" t="s">
        <v>3687</v>
      </c>
      <c r="C3772" s="5">
        <v>41489</v>
      </c>
      <c r="D3772" s="5">
        <v>41549</v>
      </c>
      <c r="E3772" s="4" t="s">
        <v>2944</v>
      </c>
      <c r="F3772" s="4" t="s">
        <v>3164</v>
      </c>
    </row>
    <row r="3773" spans="1:6" x14ac:dyDescent="0.25">
      <c r="A3773" s="4" t="str">
        <f>CONCATENATE("3071-0000-7546","")</f>
        <v>3071-0000-7546</v>
      </c>
      <c r="B3773" s="4" t="s">
        <v>4313</v>
      </c>
      <c r="C3773" s="5">
        <v>41489</v>
      </c>
      <c r="D3773" s="5">
        <v>41549</v>
      </c>
      <c r="E3773" s="4" t="s">
        <v>1410</v>
      </c>
      <c r="F3773" s="4" t="s">
        <v>1410</v>
      </c>
    </row>
    <row r="3774" spans="1:6" x14ac:dyDescent="0.25">
      <c r="A3774" s="4" t="str">
        <f>CONCATENATE("3071-0000-0342","")</f>
        <v>3071-0000-0342</v>
      </c>
      <c r="B3774" s="4" t="s">
        <v>730</v>
      </c>
      <c r="C3774" s="5">
        <v>41489</v>
      </c>
      <c r="D3774" s="5">
        <v>41549</v>
      </c>
      <c r="E3774" s="4" t="s">
        <v>7</v>
      </c>
      <c r="F3774" s="4" t="s">
        <v>7</v>
      </c>
    </row>
    <row r="3775" spans="1:6" x14ac:dyDescent="0.25">
      <c r="A3775" s="4" t="str">
        <f>CONCATENATE("3071-0000-7152","")</f>
        <v>3071-0000-7152</v>
      </c>
      <c r="B3775" s="4" t="s">
        <v>4995</v>
      </c>
      <c r="C3775" s="5">
        <v>41489</v>
      </c>
      <c r="D3775" s="5">
        <v>41549</v>
      </c>
      <c r="E3775" s="4" t="s">
        <v>1410</v>
      </c>
      <c r="F3775" s="4" t="s">
        <v>1410</v>
      </c>
    </row>
    <row r="3776" spans="1:6" x14ac:dyDescent="0.25">
      <c r="A3776" s="4" t="str">
        <f>CONCATENATE("3071-0000-7270","")</f>
        <v>3071-0000-7270</v>
      </c>
      <c r="B3776" s="4" t="s">
        <v>5099</v>
      </c>
      <c r="C3776" s="5">
        <v>41489</v>
      </c>
      <c r="D3776" s="5">
        <v>41549</v>
      </c>
      <c r="E3776" s="4" t="s">
        <v>1410</v>
      </c>
      <c r="F3776" s="4" t="s">
        <v>1410</v>
      </c>
    </row>
    <row r="3777" spans="1:6" x14ac:dyDescent="0.25">
      <c r="A3777" s="4" t="str">
        <f>CONCATENATE("3071-0000-0033","")</f>
        <v>3071-0000-0033</v>
      </c>
      <c r="B3777" s="4" t="s">
        <v>58</v>
      </c>
      <c r="C3777" s="5">
        <v>41489</v>
      </c>
      <c r="D3777" s="5">
        <v>41549</v>
      </c>
      <c r="E3777" s="4" t="s">
        <v>7</v>
      </c>
      <c r="F3777" s="4" t="s">
        <v>7</v>
      </c>
    </row>
    <row r="3778" spans="1:6" x14ac:dyDescent="0.25">
      <c r="A3778" s="4" t="str">
        <f>CONCATENATE("3071-0000-2878","")</f>
        <v>3071-0000-2878</v>
      </c>
      <c r="B3778" s="4" t="s">
        <v>1377</v>
      </c>
      <c r="C3778" s="5">
        <v>41489</v>
      </c>
      <c r="D3778" s="5">
        <v>41549</v>
      </c>
      <c r="E3778" s="4" t="s">
        <v>7</v>
      </c>
      <c r="F3778" s="4" t="s">
        <v>808</v>
      </c>
    </row>
    <row r="3779" spans="1:6" x14ac:dyDescent="0.25">
      <c r="A3779" s="4" t="str">
        <f>CONCATENATE("3071-0000-9466","")</f>
        <v>3071-0000-9466</v>
      </c>
      <c r="B3779" s="4" t="s">
        <v>8530</v>
      </c>
      <c r="C3779" s="5">
        <v>41489</v>
      </c>
      <c r="D3779" s="5">
        <v>41549</v>
      </c>
      <c r="E3779" s="4" t="s">
        <v>1410</v>
      </c>
      <c r="F3779" s="4" t="s">
        <v>4459</v>
      </c>
    </row>
    <row r="3780" spans="1:6" x14ac:dyDescent="0.25">
      <c r="A3780" s="4" t="str">
        <f>CONCATENATE("3071-0000-9464","")</f>
        <v>3071-0000-9464</v>
      </c>
      <c r="B3780" s="4" t="s">
        <v>8528</v>
      </c>
      <c r="C3780" s="5">
        <v>41489</v>
      </c>
      <c r="D3780" s="5">
        <v>41549</v>
      </c>
      <c r="E3780" s="4" t="s">
        <v>1410</v>
      </c>
      <c r="F3780" s="4" t="s">
        <v>4459</v>
      </c>
    </row>
    <row r="3781" spans="1:6" x14ac:dyDescent="0.25">
      <c r="A3781" s="4" t="str">
        <f>CONCATENATE("3071-0000-9342","")</f>
        <v>3071-0000-9342</v>
      </c>
      <c r="B3781" s="4" t="s">
        <v>8613</v>
      </c>
      <c r="C3781" s="5">
        <v>41489</v>
      </c>
      <c r="D3781" s="5">
        <v>41549</v>
      </c>
      <c r="E3781" s="4" t="s">
        <v>1410</v>
      </c>
      <c r="F3781" s="4" t="s">
        <v>4459</v>
      </c>
    </row>
    <row r="3782" spans="1:6" x14ac:dyDescent="0.25">
      <c r="A3782" s="4" t="str">
        <f>CONCATENATE("3071-0000-8924","")</f>
        <v>3071-0000-8924</v>
      </c>
      <c r="B3782" s="4" t="s">
        <v>5333</v>
      </c>
      <c r="C3782" s="5">
        <v>41489</v>
      </c>
      <c r="D3782" s="5">
        <v>41549</v>
      </c>
      <c r="E3782" s="4" t="s">
        <v>1410</v>
      </c>
      <c r="F3782" s="4" t="s">
        <v>4616</v>
      </c>
    </row>
    <row r="3783" spans="1:6" x14ac:dyDescent="0.25">
      <c r="A3783" s="4" t="str">
        <f>CONCATENATE("3071-0000-8939","")</f>
        <v>3071-0000-8939</v>
      </c>
      <c r="B3783" s="4" t="s">
        <v>5345</v>
      </c>
      <c r="C3783" s="5">
        <v>41489</v>
      </c>
      <c r="D3783" s="5">
        <v>41549</v>
      </c>
      <c r="E3783" s="4" t="s">
        <v>1410</v>
      </c>
      <c r="F3783" s="4" t="s">
        <v>4616</v>
      </c>
    </row>
    <row r="3784" spans="1:6" x14ac:dyDescent="0.25">
      <c r="A3784" s="4" t="str">
        <f>CONCATENATE("3071-0000-1668","")</f>
        <v>3071-0000-1668</v>
      </c>
      <c r="B3784" s="4" t="s">
        <v>2586</v>
      </c>
      <c r="C3784" s="5">
        <v>41489</v>
      </c>
      <c r="D3784" s="5">
        <v>41549</v>
      </c>
      <c r="E3784" s="4" t="s">
        <v>1381</v>
      </c>
      <c r="F3784" s="4" t="s">
        <v>2303</v>
      </c>
    </row>
    <row r="3785" spans="1:6" x14ac:dyDescent="0.25">
      <c r="A3785" s="4" t="str">
        <f>CONCATENATE("3071-0000-7694","")</f>
        <v>3071-0000-7694</v>
      </c>
      <c r="B3785" s="4" t="s">
        <v>4841</v>
      </c>
      <c r="C3785" s="5">
        <v>41489</v>
      </c>
      <c r="D3785" s="5">
        <v>41549</v>
      </c>
      <c r="E3785" s="4" t="s">
        <v>1410</v>
      </c>
      <c r="F3785" s="4" t="s">
        <v>4655</v>
      </c>
    </row>
    <row r="3786" spans="1:6" x14ac:dyDescent="0.25">
      <c r="A3786" s="4" t="str">
        <f>CONCATENATE("3071-0000-2304","")</f>
        <v>3071-0000-2304</v>
      </c>
      <c r="B3786" s="4" t="s">
        <v>3653</v>
      </c>
      <c r="C3786" s="5">
        <v>41489</v>
      </c>
      <c r="D3786" s="5">
        <v>41549</v>
      </c>
      <c r="E3786" s="4" t="s">
        <v>2944</v>
      </c>
      <c r="F3786" s="4" t="s">
        <v>2945</v>
      </c>
    </row>
    <row r="3787" spans="1:6" x14ac:dyDescent="0.25">
      <c r="A3787" s="4" t="str">
        <f>CONCATENATE("3071-0000-9538","")</f>
        <v>3071-0000-9538</v>
      </c>
      <c r="B3787" s="4" t="s">
        <v>8647</v>
      </c>
      <c r="C3787" s="5">
        <v>41489</v>
      </c>
      <c r="D3787" s="5">
        <v>41549</v>
      </c>
      <c r="E3787" s="4" t="s">
        <v>1410</v>
      </c>
      <c r="F3787" s="4" t="s">
        <v>4459</v>
      </c>
    </row>
    <row r="3788" spans="1:6" x14ac:dyDescent="0.25">
      <c r="A3788" s="4" t="str">
        <f>CONCATENATE("3071-0000-9397","")</f>
        <v>3071-0000-9397</v>
      </c>
      <c r="B3788" s="4" t="s">
        <v>8547</v>
      </c>
      <c r="C3788" s="5">
        <v>41489</v>
      </c>
      <c r="D3788" s="5">
        <v>41549</v>
      </c>
      <c r="E3788" s="4" t="s">
        <v>1410</v>
      </c>
      <c r="F3788" s="4" t="s">
        <v>4459</v>
      </c>
    </row>
    <row r="3789" spans="1:6" x14ac:dyDescent="0.25">
      <c r="A3789" s="4" t="str">
        <f>CONCATENATE("3071-0000-8214","")</f>
        <v>3071-0000-8214</v>
      </c>
      <c r="B3789" s="4" t="s">
        <v>5824</v>
      </c>
      <c r="C3789" s="5">
        <v>41489</v>
      </c>
      <c r="D3789" s="5">
        <v>41549</v>
      </c>
      <c r="E3789" s="4" t="s">
        <v>5185</v>
      </c>
      <c r="F3789" s="4" t="s">
        <v>5185</v>
      </c>
    </row>
    <row r="3790" spans="1:6" x14ac:dyDescent="0.25">
      <c r="A3790" s="4" t="str">
        <f>CONCATENATE("3071-0000-7053","")</f>
        <v>3071-0000-7053</v>
      </c>
      <c r="B3790" s="4" t="s">
        <v>4838</v>
      </c>
      <c r="C3790" s="5">
        <v>41489</v>
      </c>
      <c r="D3790" s="5">
        <v>41549</v>
      </c>
      <c r="E3790" s="4" t="s">
        <v>1410</v>
      </c>
      <c r="F3790" s="4" t="s">
        <v>1410</v>
      </c>
    </row>
    <row r="3791" spans="1:6" x14ac:dyDescent="0.25">
      <c r="A3791" s="4" t="str">
        <f>CONCATENATE("3071-0000-2201","")</f>
        <v>3071-0000-2201</v>
      </c>
      <c r="B3791" s="4" t="s">
        <v>3702</v>
      </c>
      <c r="C3791" s="5">
        <v>41489</v>
      </c>
      <c r="D3791" s="5">
        <v>41549</v>
      </c>
      <c r="E3791" s="4" t="s">
        <v>2944</v>
      </c>
      <c r="F3791" s="4" t="s">
        <v>2945</v>
      </c>
    </row>
    <row r="3792" spans="1:6" x14ac:dyDescent="0.25">
      <c r="A3792" s="4" t="str">
        <f>CONCATENATE("3071-0000-8409","")</f>
        <v>3071-0000-8409</v>
      </c>
      <c r="B3792" s="4" t="s">
        <v>5856</v>
      </c>
      <c r="C3792" s="5">
        <v>41489</v>
      </c>
      <c r="D3792" s="5">
        <v>41549</v>
      </c>
      <c r="E3792" s="4" t="s">
        <v>5185</v>
      </c>
      <c r="F3792" s="4" t="s">
        <v>5185</v>
      </c>
    </row>
    <row r="3793" spans="1:6" x14ac:dyDescent="0.25">
      <c r="A3793" s="4" t="str">
        <f>CONCATENATE("3071-0000-9454","")</f>
        <v>3071-0000-9454</v>
      </c>
      <c r="B3793" s="4" t="s">
        <v>8519</v>
      </c>
      <c r="C3793" s="5">
        <v>41489</v>
      </c>
      <c r="D3793" s="5">
        <v>41549</v>
      </c>
      <c r="E3793" s="4" t="s">
        <v>1410</v>
      </c>
      <c r="F3793" s="4" t="s">
        <v>4459</v>
      </c>
    </row>
    <row r="3794" spans="1:6" x14ac:dyDescent="0.25">
      <c r="A3794" s="4" t="str">
        <f>CONCATENATE("3071-0000-9449","")</f>
        <v>3071-0000-9449</v>
      </c>
      <c r="B3794" s="4" t="s">
        <v>8515</v>
      </c>
      <c r="C3794" s="5">
        <v>41489</v>
      </c>
      <c r="D3794" s="5">
        <v>41549</v>
      </c>
      <c r="E3794" s="4" t="s">
        <v>1410</v>
      </c>
      <c r="F3794" s="4" t="s">
        <v>4459</v>
      </c>
    </row>
    <row r="3795" spans="1:6" x14ac:dyDescent="0.25">
      <c r="A3795" s="4" t="str">
        <f>CONCATENATE("3071-0000-6340","")</f>
        <v>3071-0000-6340</v>
      </c>
      <c r="B3795" s="4" t="s">
        <v>7851</v>
      </c>
      <c r="C3795" s="5">
        <v>41489</v>
      </c>
      <c r="D3795" s="5">
        <v>41549</v>
      </c>
      <c r="E3795" s="4" t="s">
        <v>5185</v>
      </c>
      <c r="F3795" s="4" t="s">
        <v>5185</v>
      </c>
    </row>
    <row r="3796" spans="1:6" x14ac:dyDescent="0.25">
      <c r="A3796" s="4" t="str">
        <f>CONCATENATE("3071-0000-4042","")</f>
        <v>3071-0000-4042</v>
      </c>
      <c r="B3796" s="4" t="s">
        <v>3983</v>
      </c>
      <c r="C3796" s="5">
        <v>41489</v>
      </c>
      <c r="D3796" s="5">
        <v>41549</v>
      </c>
      <c r="E3796" s="4" t="s">
        <v>7</v>
      </c>
      <c r="F3796" s="4" t="s">
        <v>1419</v>
      </c>
    </row>
    <row r="3797" spans="1:6" x14ac:dyDescent="0.25">
      <c r="A3797" s="4" t="str">
        <f>CONCATENATE("3071-0000-2422","")</f>
        <v>3071-0000-2422</v>
      </c>
      <c r="B3797" s="4" t="s">
        <v>3005</v>
      </c>
      <c r="C3797" s="5">
        <v>41489</v>
      </c>
      <c r="D3797" s="5">
        <v>41549</v>
      </c>
      <c r="E3797" s="4" t="s">
        <v>2944</v>
      </c>
      <c r="F3797" s="4" t="s">
        <v>2945</v>
      </c>
    </row>
    <row r="3798" spans="1:6" x14ac:dyDescent="0.25">
      <c r="A3798" s="4" t="str">
        <f>CONCATENATE("3071-0000-9504","")</f>
        <v>3071-0000-9504</v>
      </c>
      <c r="B3798" s="4" t="s">
        <v>8567</v>
      </c>
      <c r="C3798" s="5">
        <v>41489</v>
      </c>
      <c r="D3798" s="5">
        <v>41549</v>
      </c>
      <c r="E3798" s="4" t="s">
        <v>1410</v>
      </c>
      <c r="F3798" s="4" t="s">
        <v>4459</v>
      </c>
    </row>
    <row r="3799" spans="1:6" x14ac:dyDescent="0.25">
      <c r="A3799" s="4" t="str">
        <f>CONCATENATE("3071-0000-7938","")</f>
        <v>3071-0000-7938</v>
      </c>
      <c r="B3799" s="4" t="s">
        <v>5571</v>
      </c>
      <c r="C3799" s="5">
        <v>41489</v>
      </c>
      <c r="D3799" s="5">
        <v>41549</v>
      </c>
      <c r="E3799" s="4" t="s">
        <v>5185</v>
      </c>
      <c r="F3799" s="4" t="s">
        <v>5250</v>
      </c>
    </row>
    <row r="3800" spans="1:6" x14ac:dyDescent="0.25">
      <c r="A3800" s="4" t="str">
        <f>CONCATENATE("3071-0000-3167","")</f>
        <v>3071-0000-3167</v>
      </c>
      <c r="B3800" s="4" t="s">
        <v>1289</v>
      </c>
      <c r="C3800" s="5">
        <v>41489</v>
      </c>
      <c r="D3800" s="5">
        <v>41549</v>
      </c>
      <c r="E3800" s="4" t="s">
        <v>7</v>
      </c>
      <c r="F3800" s="4" t="s">
        <v>808</v>
      </c>
    </row>
    <row r="3801" spans="1:6" x14ac:dyDescent="0.25">
      <c r="A3801" s="4" t="str">
        <f>CONCATENATE("3071-0000-1662","")</f>
        <v>3071-0000-1662</v>
      </c>
      <c r="B3801" s="4" t="s">
        <v>2343</v>
      </c>
      <c r="C3801" s="5">
        <v>41489</v>
      </c>
      <c r="D3801" s="5">
        <v>41549</v>
      </c>
      <c r="E3801" s="4" t="s">
        <v>1381</v>
      </c>
      <c r="F3801" s="4" t="s">
        <v>2319</v>
      </c>
    </row>
    <row r="3802" spans="1:6" x14ac:dyDescent="0.25">
      <c r="A3802" s="4" t="str">
        <f>CONCATENATE("3071-0000-7720","")</f>
        <v>3071-0000-7720</v>
      </c>
      <c r="B3802" s="4" t="s">
        <v>4521</v>
      </c>
      <c r="C3802" s="5">
        <v>41489</v>
      </c>
      <c r="D3802" s="5">
        <v>41549</v>
      </c>
      <c r="E3802" s="4" t="s">
        <v>1410</v>
      </c>
      <c r="F3802" s="4" t="s">
        <v>1410</v>
      </c>
    </row>
    <row r="3803" spans="1:6" x14ac:dyDescent="0.25">
      <c r="A3803" s="4" t="str">
        <f>CONCATENATE("3071-0000-5701","")</f>
        <v>3071-0000-5701</v>
      </c>
      <c r="B3803" s="4" t="s">
        <v>7428</v>
      </c>
      <c r="C3803" s="5">
        <v>41489</v>
      </c>
      <c r="D3803" s="5">
        <v>41549</v>
      </c>
      <c r="E3803" s="4" t="s">
        <v>5185</v>
      </c>
      <c r="F3803" s="4" t="s">
        <v>5185</v>
      </c>
    </row>
    <row r="3804" spans="1:6" x14ac:dyDescent="0.25">
      <c r="A3804" s="4" t="str">
        <f>CONCATENATE("3071-0000-8363","")</f>
        <v>3071-0000-8363</v>
      </c>
      <c r="B3804" s="4" t="s">
        <v>5977</v>
      </c>
      <c r="C3804" s="5">
        <v>41489</v>
      </c>
      <c r="D3804" s="5">
        <v>41549</v>
      </c>
      <c r="E3804" s="4" t="s">
        <v>5185</v>
      </c>
      <c r="F3804" s="4" t="s">
        <v>5185</v>
      </c>
    </row>
    <row r="3805" spans="1:6" x14ac:dyDescent="0.25">
      <c r="A3805" s="4" t="str">
        <f>CONCATENATE("3071-0000-6338","")</f>
        <v>3071-0000-6338</v>
      </c>
      <c r="B3805" s="4" t="s">
        <v>8081</v>
      </c>
      <c r="C3805" s="5">
        <v>41489</v>
      </c>
      <c r="D3805" s="5">
        <v>41549</v>
      </c>
      <c r="E3805" s="4" t="s">
        <v>1410</v>
      </c>
      <c r="F3805" s="4" t="s">
        <v>7967</v>
      </c>
    </row>
    <row r="3806" spans="1:6" x14ac:dyDescent="0.25">
      <c r="A3806" s="4" t="str">
        <f>CONCATENATE("3071-0000-0296","")</f>
        <v>3071-0000-0296</v>
      </c>
      <c r="B3806" s="4" t="s">
        <v>506</v>
      </c>
      <c r="C3806" s="5">
        <v>41489</v>
      </c>
      <c r="D3806" s="5">
        <v>41549</v>
      </c>
      <c r="E3806" s="4" t="s">
        <v>7</v>
      </c>
      <c r="F3806" s="4" t="s">
        <v>7</v>
      </c>
    </row>
    <row r="3807" spans="1:6" x14ac:dyDescent="0.25">
      <c r="A3807" s="4" t="str">
        <f>CONCATENATE("3071-0000-9628","")</f>
        <v>3071-0000-9628</v>
      </c>
      <c r="B3807" s="4" t="s">
        <v>8294</v>
      </c>
      <c r="C3807" s="5">
        <v>41489</v>
      </c>
      <c r="D3807" s="5">
        <v>41549</v>
      </c>
      <c r="E3807" s="4" t="s">
        <v>1410</v>
      </c>
      <c r="F3807" s="4" t="s">
        <v>7967</v>
      </c>
    </row>
    <row r="3808" spans="1:6" x14ac:dyDescent="0.25">
      <c r="A3808" s="4" t="str">
        <f>CONCATENATE("3071-0000-9310","")</f>
        <v>3071-0000-9310</v>
      </c>
      <c r="B3808" s="4" t="s">
        <v>8368</v>
      </c>
      <c r="C3808" s="5">
        <v>41489</v>
      </c>
      <c r="D3808" s="5">
        <v>41549</v>
      </c>
      <c r="E3808" s="4" t="s">
        <v>5185</v>
      </c>
      <c r="F3808" s="4" t="s">
        <v>5185</v>
      </c>
    </row>
    <row r="3809" spans="1:6" x14ac:dyDescent="0.25">
      <c r="A3809" s="4" t="str">
        <f>CONCATENATE("3071-0000-6548","")</f>
        <v>3071-0000-6548</v>
      </c>
      <c r="B3809" s="4" t="s">
        <v>7795</v>
      </c>
      <c r="C3809" s="5">
        <v>41489</v>
      </c>
      <c r="D3809" s="5">
        <v>41549</v>
      </c>
      <c r="E3809" s="4" t="s">
        <v>5185</v>
      </c>
      <c r="F3809" s="4" t="s">
        <v>5185</v>
      </c>
    </row>
    <row r="3810" spans="1:6" x14ac:dyDescent="0.25">
      <c r="A3810" s="4" t="str">
        <f>CONCATENATE("3071-0000-9227","")</f>
        <v>3071-0000-9227</v>
      </c>
      <c r="B3810" s="4" t="s">
        <v>8358</v>
      </c>
      <c r="C3810" s="5">
        <v>41489</v>
      </c>
      <c r="D3810" s="5">
        <v>41549</v>
      </c>
      <c r="E3810" s="4" t="s">
        <v>5185</v>
      </c>
      <c r="F3810" s="4" t="s">
        <v>5185</v>
      </c>
    </row>
    <row r="3811" spans="1:6" x14ac:dyDescent="0.25">
      <c r="A3811" s="4" t="str">
        <f>CONCATENATE("3071-0000-9341","")</f>
        <v>3071-0000-9341</v>
      </c>
      <c r="B3811" s="4" t="s">
        <v>8393</v>
      </c>
      <c r="C3811" s="5">
        <v>41489</v>
      </c>
      <c r="D3811" s="5">
        <v>41549</v>
      </c>
      <c r="E3811" s="4" t="s">
        <v>1410</v>
      </c>
      <c r="F3811" s="4" t="s">
        <v>7967</v>
      </c>
    </row>
    <row r="3812" spans="1:6" x14ac:dyDescent="0.25">
      <c r="A3812" s="4" t="str">
        <f>CONCATENATE("3071-0000-9591","")</f>
        <v>3071-0000-9591</v>
      </c>
      <c r="B3812" s="4" t="s">
        <v>8425</v>
      </c>
      <c r="C3812" s="5">
        <v>41489</v>
      </c>
      <c r="D3812" s="5">
        <v>41549</v>
      </c>
      <c r="E3812" s="4" t="s">
        <v>1410</v>
      </c>
      <c r="F3812" s="4" t="s">
        <v>4459</v>
      </c>
    </row>
    <row r="3813" spans="1:6" x14ac:dyDescent="0.25">
      <c r="A3813" s="4" t="str">
        <f>CONCATENATE("3071-0000-9337","")</f>
        <v>3071-0000-9337</v>
      </c>
      <c r="B3813" s="4" t="s">
        <v>8326</v>
      </c>
      <c r="C3813" s="5">
        <v>41489</v>
      </c>
      <c r="D3813" s="5">
        <v>41549</v>
      </c>
      <c r="E3813" s="4" t="s">
        <v>1410</v>
      </c>
      <c r="F3813" s="4" t="s">
        <v>7967</v>
      </c>
    </row>
    <row r="3814" spans="1:6" x14ac:dyDescent="0.25">
      <c r="A3814" s="4" t="str">
        <f>CONCATENATE("3071-0000-6407","")</f>
        <v>3071-0000-6407</v>
      </c>
      <c r="B3814" s="4" t="s">
        <v>8067</v>
      </c>
      <c r="C3814" s="5">
        <v>41489</v>
      </c>
      <c r="D3814" s="5">
        <v>41549</v>
      </c>
      <c r="E3814" s="4" t="s">
        <v>5185</v>
      </c>
      <c r="F3814" s="4" t="s">
        <v>5185</v>
      </c>
    </row>
    <row r="3815" spans="1:6" x14ac:dyDescent="0.25">
      <c r="A3815" s="4" t="str">
        <f>CONCATENATE("3071-0000-6703","")</f>
        <v>3071-0000-6703</v>
      </c>
      <c r="B3815" s="4" t="s">
        <v>8173</v>
      </c>
      <c r="C3815" s="5">
        <v>41489</v>
      </c>
      <c r="D3815" s="5">
        <v>41549</v>
      </c>
      <c r="E3815" s="4" t="s">
        <v>5185</v>
      </c>
      <c r="F3815" s="4" t="s">
        <v>5185</v>
      </c>
    </row>
    <row r="3816" spans="1:6" x14ac:dyDescent="0.25">
      <c r="A3816" s="4" t="str">
        <f>CONCATENATE("3071-0000-9313","")</f>
        <v>3071-0000-9313</v>
      </c>
      <c r="B3816" s="4" t="s">
        <v>8373</v>
      </c>
      <c r="C3816" s="5">
        <v>41489</v>
      </c>
      <c r="D3816" s="5">
        <v>41549</v>
      </c>
      <c r="E3816" s="4" t="s">
        <v>5185</v>
      </c>
      <c r="F3816" s="4" t="s">
        <v>5185</v>
      </c>
    </row>
    <row r="3817" spans="1:6" x14ac:dyDescent="0.25">
      <c r="A3817" s="4" t="str">
        <f>CONCATENATE("3071-0000-6462","")</f>
        <v>3071-0000-6462</v>
      </c>
      <c r="B3817" s="4" t="s">
        <v>8103</v>
      </c>
      <c r="C3817" s="5">
        <v>41489</v>
      </c>
      <c r="D3817" s="5">
        <v>41549</v>
      </c>
      <c r="E3817" s="4" t="s">
        <v>5185</v>
      </c>
      <c r="F3817" s="4" t="s">
        <v>5185</v>
      </c>
    </row>
    <row r="3818" spans="1:6" x14ac:dyDescent="0.25">
      <c r="A3818" s="4" t="str">
        <f>CONCATENATE("3071-0000-9334","")</f>
        <v>3071-0000-9334</v>
      </c>
      <c r="B3818" s="4" t="s">
        <v>8394</v>
      </c>
      <c r="C3818" s="5">
        <v>41489</v>
      </c>
      <c r="D3818" s="5">
        <v>41549</v>
      </c>
      <c r="E3818" s="4" t="s">
        <v>1410</v>
      </c>
      <c r="F3818" s="4" t="s">
        <v>7967</v>
      </c>
    </row>
    <row r="3819" spans="1:6" x14ac:dyDescent="0.25">
      <c r="A3819" s="4" t="str">
        <f>CONCATENATE("3071-0000-9221","")</f>
        <v>3071-0000-9221</v>
      </c>
      <c r="B3819" s="4" t="s">
        <v>8313</v>
      </c>
      <c r="C3819" s="5">
        <v>41489</v>
      </c>
      <c r="D3819" s="5">
        <v>41549</v>
      </c>
      <c r="E3819" s="4" t="s">
        <v>1410</v>
      </c>
      <c r="F3819" s="4" t="s">
        <v>7967</v>
      </c>
    </row>
    <row r="3820" spans="1:6" x14ac:dyDescent="0.25">
      <c r="A3820" s="4" t="str">
        <f>CONCATENATE("3071-0000-0180","")</f>
        <v>3071-0000-0180</v>
      </c>
      <c r="B3820" s="4" t="s">
        <v>374</v>
      </c>
      <c r="C3820" s="5">
        <v>41489</v>
      </c>
      <c r="D3820" s="5">
        <v>41549</v>
      </c>
      <c r="E3820" s="4" t="s">
        <v>7</v>
      </c>
      <c r="F3820" s="4" t="s">
        <v>7</v>
      </c>
    </row>
    <row r="3821" spans="1:6" x14ac:dyDescent="0.25">
      <c r="A3821" s="4" t="str">
        <f>CONCATENATE("3071-0000-3815","")</f>
        <v>3071-0000-3815</v>
      </c>
      <c r="B3821" s="4" t="s">
        <v>3852</v>
      </c>
      <c r="C3821" s="5">
        <v>41489</v>
      </c>
      <c r="D3821" s="5">
        <v>41549</v>
      </c>
      <c r="E3821" s="4" t="s">
        <v>7</v>
      </c>
      <c r="F3821" s="4" t="s">
        <v>3818</v>
      </c>
    </row>
    <row r="3822" spans="1:6" x14ac:dyDescent="0.25">
      <c r="A3822" s="4" t="str">
        <f>CONCATENATE("3071-0000-4283","")</f>
        <v>3071-0000-4283</v>
      </c>
      <c r="B3822" s="4" t="s">
        <v>8919</v>
      </c>
      <c r="C3822" s="5">
        <v>41489</v>
      </c>
      <c r="D3822" s="5">
        <v>41549</v>
      </c>
      <c r="E3822" s="4" t="s">
        <v>1410</v>
      </c>
      <c r="F3822" s="4" t="s">
        <v>8696</v>
      </c>
    </row>
    <row r="3823" spans="1:6" x14ac:dyDescent="0.25">
      <c r="A3823" s="4" t="str">
        <f>CONCATENATE("3071-0000-8058","")</f>
        <v>3071-0000-8058</v>
      </c>
      <c r="B3823" s="4" t="s">
        <v>5973</v>
      </c>
      <c r="C3823" s="5">
        <v>41489</v>
      </c>
      <c r="D3823" s="5">
        <v>41549</v>
      </c>
      <c r="E3823" s="4" t="s">
        <v>5185</v>
      </c>
      <c r="F3823" s="4" t="s">
        <v>5185</v>
      </c>
    </row>
    <row r="3824" spans="1:6" x14ac:dyDescent="0.25">
      <c r="A3824" s="4" t="str">
        <f>CONCATENATE("3071-0000-2272","")</f>
        <v>3071-0000-2272</v>
      </c>
      <c r="B3824" s="4" t="s">
        <v>3789</v>
      </c>
      <c r="C3824" s="5">
        <v>41489</v>
      </c>
      <c r="D3824" s="5">
        <v>41549</v>
      </c>
      <c r="E3824" s="4" t="s">
        <v>2944</v>
      </c>
      <c r="F3824" s="4" t="s">
        <v>2945</v>
      </c>
    </row>
    <row r="3825" spans="1:6" x14ac:dyDescent="0.25">
      <c r="A3825" s="4" t="str">
        <f>CONCATENATE("3071-0000-1981","")</f>
        <v>3071-0000-1981</v>
      </c>
      <c r="B3825" s="4" t="s">
        <v>3119</v>
      </c>
      <c r="C3825" s="5">
        <v>41489</v>
      </c>
      <c r="D3825" s="5">
        <v>41549</v>
      </c>
      <c r="E3825" s="4" t="s">
        <v>2944</v>
      </c>
      <c r="F3825" s="4" t="s">
        <v>2945</v>
      </c>
    </row>
    <row r="3826" spans="1:6" x14ac:dyDescent="0.25">
      <c r="A3826" s="4" t="str">
        <f>CONCATENATE("3071-0000-9145","")</f>
        <v>3071-0000-9145</v>
      </c>
      <c r="B3826" s="4" t="s">
        <v>6548</v>
      </c>
      <c r="C3826" s="5">
        <v>41489</v>
      </c>
      <c r="D3826" s="5">
        <v>41549</v>
      </c>
      <c r="E3826" s="4" t="s">
        <v>5185</v>
      </c>
      <c r="F3826" s="4" t="s">
        <v>5292</v>
      </c>
    </row>
    <row r="3827" spans="1:6" x14ac:dyDescent="0.25">
      <c r="A3827" s="4" t="str">
        <f>CONCATENATE("3071-0000-9006","")</f>
        <v>3071-0000-9006</v>
      </c>
      <c r="B3827" s="4" t="s">
        <v>6331</v>
      </c>
      <c r="C3827" s="5">
        <v>41489</v>
      </c>
      <c r="D3827" s="5">
        <v>41549</v>
      </c>
      <c r="E3827" s="4" t="s">
        <v>5185</v>
      </c>
      <c r="F3827" s="4" t="s">
        <v>5292</v>
      </c>
    </row>
    <row r="3828" spans="1:6" x14ac:dyDescent="0.25">
      <c r="A3828" s="4" t="str">
        <f>CONCATENATE("3071-0000-0733","")</f>
        <v>3071-0000-0733</v>
      </c>
      <c r="B3828" s="4" t="s">
        <v>705</v>
      </c>
      <c r="C3828" s="5">
        <v>41489</v>
      </c>
      <c r="D3828" s="5">
        <v>41549</v>
      </c>
      <c r="E3828" s="4" t="s">
        <v>7</v>
      </c>
      <c r="F3828" s="4" t="s">
        <v>7</v>
      </c>
    </row>
    <row r="3829" spans="1:6" x14ac:dyDescent="0.25">
      <c r="A3829" s="4" t="str">
        <f>CONCATENATE("3071-0000-1612","")</f>
        <v>3071-0000-1612</v>
      </c>
      <c r="B3829" s="4" t="s">
        <v>2581</v>
      </c>
      <c r="C3829" s="5">
        <v>41489</v>
      </c>
      <c r="D3829" s="5">
        <v>41549</v>
      </c>
      <c r="E3829" s="4" t="s">
        <v>1381</v>
      </c>
      <c r="F3829" s="4" t="s">
        <v>2303</v>
      </c>
    </row>
    <row r="3830" spans="1:6" x14ac:dyDescent="0.25">
      <c r="A3830" s="4" t="str">
        <f>CONCATENATE("3071-0000-1738","")</f>
        <v>3071-0000-1738</v>
      </c>
      <c r="B3830" s="4" t="s">
        <v>2739</v>
      </c>
      <c r="C3830" s="5">
        <v>41489</v>
      </c>
      <c r="D3830" s="5">
        <v>41549</v>
      </c>
      <c r="E3830" s="4" t="s">
        <v>1381</v>
      </c>
      <c r="F3830" s="4" t="s">
        <v>2662</v>
      </c>
    </row>
    <row r="3831" spans="1:6" x14ac:dyDescent="0.25">
      <c r="A3831" s="4" t="str">
        <f>CONCATENATE("3071-0000-1303","")</f>
        <v>3071-0000-1303</v>
      </c>
      <c r="B3831" s="4" t="s">
        <v>2416</v>
      </c>
      <c r="C3831" s="5">
        <v>41489</v>
      </c>
      <c r="D3831" s="5">
        <v>41549</v>
      </c>
      <c r="E3831" s="4" t="s">
        <v>1381</v>
      </c>
      <c r="F3831" s="4" t="s">
        <v>2303</v>
      </c>
    </row>
    <row r="3832" spans="1:6" x14ac:dyDescent="0.25">
      <c r="A3832" s="4" t="str">
        <f>CONCATENATE("3071-0000-7853","")</f>
        <v>3071-0000-7853</v>
      </c>
      <c r="B3832" s="4" t="s">
        <v>6306</v>
      </c>
      <c r="C3832" s="5">
        <v>41489</v>
      </c>
      <c r="D3832" s="5">
        <v>41549</v>
      </c>
      <c r="E3832" s="4" t="s">
        <v>5185</v>
      </c>
      <c r="F3832" s="4" t="s">
        <v>5185</v>
      </c>
    </row>
    <row r="3833" spans="1:6" x14ac:dyDescent="0.25">
      <c r="A3833" s="4" t="str">
        <f>CONCATENATE("3071-0000-7863","")</f>
        <v>3071-0000-7863</v>
      </c>
      <c r="B3833" s="4" t="s">
        <v>6328</v>
      </c>
      <c r="C3833" s="5">
        <v>41489</v>
      </c>
      <c r="D3833" s="5">
        <v>41549</v>
      </c>
      <c r="E3833" s="4" t="s">
        <v>5185</v>
      </c>
      <c r="F3833" s="4" t="s">
        <v>5185</v>
      </c>
    </row>
    <row r="3834" spans="1:6" x14ac:dyDescent="0.25">
      <c r="A3834" s="4" t="str">
        <f>CONCATENATE("3071-0000-2717","")</f>
        <v>3071-0000-2717</v>
      </c>
      <c r="B3834" s="4" t="s">
        <v>3788</v>
      </c>
      <c r="C3834" s="5">
        <v>41489</v>
      </c>
      <c r="D3834" s="5">
        <v>41549</v>
      </c>
      <c r="E3834" s="4" t="s">
        <v>2944</v>
      </c>
      <c r="F3834" s="4" t="s">
        <v>3115</v>
      </c>
    </row>
    <row r="3835" spans="1:6" x14ac:dyDescent="0.25">
      <c r="A3835" s="4" t="str">
        <f>CONCATENATE("3071-0000-1283","")</f>
        <v>3071-0000-1283</v>
      </c>
      <c r="B3835" s="4" t="s">
        <v>2393</v>
      </c>
      <c r="C3835" s="5">
        <v>41489</v>
      </c>
      <c r="D3835" s="5">
        <v>41549</v>
      </c>
      <c r="E3835" s="4" t="s">
        <v>1381</v>
      </c>
      <c r="F3835" s="4" t="s">
        <v>2303</v>
      </c>
    </row>
    <row r="3836" spans="1:6" x14ac:dyDescent="0.25">
      <c r="A3836" s="4" t="str">
        <f>CONCATENATE("3071-0000-4311","")</f>
        <v>3071-0000-4311</v>
      </c>
      <c r="B3836" s="4" t="s">
        <v>8852</v>
      </c>
      <c r="C3836" s="5">
        <v>41489</v>
      </c>
      <c r="D3836" s="5">
        <v>41549</v>
      </c>
      <c r="E3836" s="4" t="s">
        <v>1410</v>
      </c>
      <c r="F3836" s="4" t="s">
        <v>8696</v>
      </c>
    </row>
    <row r="3837" spans="1:6" x14ac:dyDescent="0.25">
      <c r="A3837" s="4" t="str">
        <f>CONCATENATE("3071-0000-2627","")</f>
        <v>3071-0000-2627</v>
      </c>
      <c r="B3837" s="4" t="s">
        <v>3509</v>
      </c>
      <c r="C3837" s="5">
        <v>41489</v>
      </c>
      <c r="D3837" s="5">
        <v>41549</v>
      </c>
      <c r="E3837" s="4" t="s">
        <v>2944</v>
      </c>
      <c r="F3837" s="4" t="s">
        <v>3434</v>
      </c>
    </row>
    <row r="3838" spans="1:6" x14ac:dyDescent="0.25">
      <c r="A3838" s="4" t="str">
        <f>CONCATENATE("3071-0000-2251","")</f>
        <v>3071-0000-2251</v>
      </c>
      <c r="B3838" s="4" t="s">
        <v>3707</v>
      </c>
      <c r="C3838" s="5">
        <v>41489</v>
      </c>
      <c r="D3838" s="5">
        <v>41549</v>
      </c>
      <c r="E3838" s="4" t="s">
        <v>2944</v>
      </c>
      <c r="F3838" s="4" t="s">
        <v>2945</v>
      </c>
    </row>
    <row r="3839" spans="1:6" x14ac:dyDescent="0.25">
      <c r="A3839" s="4" t="str">
        <f>CONCATENATE("3071-0000-2453","")</f>
        <v>3071-0000-2453</v>
      </c>
      <c r="B3839" s="4" t="s">
        <v>3726</v>
      </c>
      <c r="C3839" s="5">
        <v>41489</v>
      </c>
      <c r="D3839" s="5">
        <v>41549</v>
      </c>
      <c r="E3839" s="4" t="s">
        <v>2944</v>
      </c>
      <c r="F3839" s="4" t="s">
        <v>3593</v>
      </c>
    </row>
    <row r="3840" spans="1:6" x14ac:dyDescent="0.25">
      <c r="A3840" s="4" t="str">
        <f>CONCATENATE("3071-0000-1879","")</f>
        <v>3071-0000-1879</v>
      </c>
      <c r="B3840" s="4" t="s">
        <v>3749</v>
      </c>
      <c r="C3840" s="5">
        <v>41489</v>
      </c>
      <c r="D3840" s="5">
        <v>41549</v>
      </c>
      <c r="E3840" s="4" t="s">
        <v>2944</v>
      </c>
      <c r="F3840" s="4" t="s">
        <v>3593</v>
      </c>
    </row>
    <row r="3841" spans="1:6" x14ac:dyDescent="0.25">
      <c r="A3841" s="4" t="str">
        <f>CONCATENATE("3071-0000-0645","")</f>
        <v>3071-0000-0645</v>
      </c>
      <c r="B3841" s="4" t="s">
        <v>570</v>
      </c>
      <c r="C3841" s="5">
        <v>41489</v>
      </c>
      <c r="D3841" s="5">
        <v>41549</v>
      </c>
      <c r="E3841" s="4" t="s">
        <v>7</v>
      </c>
      <c r="F3841" s="4" t="s">
        <v>273</v>
      </c>
    </row>
    <row r="3842" spans="1:6" x14ac:dyDescent="0.25">
      <c r="A3842" s="4" t="str">
        <f>CONCATENATE("3071-0000-0795","")</f>
        <v>3071-0000-0795</v>
      </c>
      <c r="B3842" s="4" t="s">
        <v>603</v>
      </c>
      <c r="C3842" s="5">
        <v>41489</v>
      </c>
      <c r="D3842" s="5">
        <v>41549</v>
      </c>
      <c r="E3842" s="4" t="s">
        <v>7</v>
      </c>
      <c r="F3842" s="4" t="s">
        <v>7</v>
      </c>
    </row>
    <row r="3843" spans="1:6" x14ac:dyDescent="0.25">
      <c r="A3843" s="4" t="str">
        <f>CONCATENATE("3071-0000-0569","")</f>
        <v>3071-0000-0569</v>
      </c>
      <c r="B3843" s="4" t="s">
        <v>617</v>
      </c>
      <c r="C3843" s="5">
        <v>41489</v>
      </c>
      <c r="D3843" s="5">
        <v>41549</v>
      </c>
      <c r="E3843" s="4" t="s">
        <v>7</v>
      </c>
      <c r="F3843" s="4" t="s">
        <v>7</v>
      </c>
    </row>
    <row r="3844" spans="1:6" x14ac:dyDescent="0.25">
      <c r="A3844" s="4" t="str">
        <f>CONCATENATE("3071-0000-0534","")</f>
        <v>3071-0000-0534</v>
      </c>
      <c r="B3844" s="4" t="s">
        <v>206</v>
      </c>
      <c r="C3844" s="5">
        <v>41489</v>
      </c>
      <c r="D3844" s="5">
        <v>41549</v>
      </c>
      <c r="E3844" s="4" t="s">
        <v>7</v>
      </c>
      <c r="F3844" s="4" t="s">
        <v>7</v>
      </c>
    </row>
    <row r="3845" spans="1:6" x14ac:dyDescent="0.25">
      <c r="A3845" s="4" t="str">
        <f>CONCATENATE("3071-0000-0490","")</f>
        <v>3071-0000-0490</v>
      </c>
      <c r="B3845" s="4" t="s">
        <v>561</v>
      </c>
      <c r="C3845" s="5">
        <v>41489</v>
      </c>
      <c r="D3845" s="5">
        <v>41549</v>
      </c>
      <c r="E3845" s="4" t="s">
        <v>7</v>
      </c>
      <c r="F3845" s="4" t="s">
        <v>273</v>
      </c>
    </row>
    <row r="3846" spans="1:6" x14ac:dyDescent="0.25">
      <c r="A3846" s="4" t="str">
        <f>CONCATENATE("3071-0000-1276","")</f>
        <v>3071-0000-1276</v>
      </c>
      <c r="B3846" s="4" t="s">
        <v>2381</v>
      </c>
      <c r="C3846" s="5">
        <v>41489</v>
      </c>
      <c r="D3846" s="5">
        <v>41549</v>
      </c>
      <c r="E3846" s="4" t="s">
        <v>1381</v>
      </c>
      <c r="F3846" s="4" t="s">
        <v>2303</v>
      </c>
    </row>
    <row r="3847" spans="1:6" x14ac:dyDescent="0.25">
      <c r="A3847" s="4" t="str">
        <f>CONCATENATE("3071-0000-8673","")</f>
        <v>3071-0000-8673</v>
      </c>
      <c r="B3847" s="4" t="s">
        <v>6402</v>
      </c>
      <c r="C3847" s="5">
        <v>41489</v>
      </c>
      <c r="D3847" s="5">
        <v>41549</v>
      </c>
      <c r="E3847" s="4" t="s">
        <v>5185</v>
      </c>
      <c r="F3847" s="4" t="s">
        <v>5292</v>
      </c>
    </row>
    <row r="3848" spans="1:6" x14ac:dyDescent="0.25">
      <c r="A3848" s="4" t="str">
        <f>CONCATENATE("3071-0000-4773","")</f>
        <v>3071-0000-4773</v>
      </c>
      <c r="B3848" s="4" t="s">
        <v>9020</v>
      </c>
      <c r="C3848" s="5">
        <v>41489</v>
      </c>
      <c r="D3848" s="5">
        <v>41549</v>
      </c>
      <c r="E3848" s="4" t="s">
        <v>1410</v>
      </c>
      <c r="F3848" s="4" t="s">
        <v>8696</v>
      </c>
    </row>
    <row r="3849" spans="1:6" x14ac:dyDescent="0.25">
      <c r="A3849" s="4" t="str">
        <f>CONCATENATE("3071-0000-8647","")</f>
        <v>3071-0000-8647</v>
      </c>
      <c r="B3849" s="4" t="s">
        <v>6429</v>
      </c>
      <c r="C3849" s="5">
        <v>41489</v>
      </c>
      <c r="D3849" s="5">
        <v>41549</v>
      </c>
      <c r="E3849" s="4" t="s">
        <v>5185</v>
      </c>
      <c r="F3849" s="4" t="s">
        <v>5945</v>
      </c>
    </row>
    <row r="3850" spans="1:6" x14ac:dyDescent="0.25">
      <c r="A3850" s="4" t="str">
        <f>CONCATENATE("3071-0000-9100","")</f>
        <v>3071-0000-9100</v>
      </c>
      <c r="B3850" s="4" t="s">
        <v>5259</v>
      </c>
      <c r="C3850" s="5">
        <v>41489</v>
      </c>
      <c r="D3850" s="5">
        <v>41549</v>
      </c>
      <c r="E3850" s="4" t="s">
        <v>5185</v>
      </c>
      <c r="F3850" s="4" t="s">
        <v>5185</v>
      </c>
    </row>
    <row r="3851" spans="1:6" x14ac:dyDescent="0.25">
      <c r="A3851" s="4" t="str">
        <f>CONCATENATE("3071-0000-9144","")</f>
        <v>3071-0000-9144</v>
      </c>
      <c r="B3851" s="4" t="s">
        <v>6452</v>
      </c>
      <c r="C3851" s="5">
        <v>41489</v>
      </c>
      <c r="D3851" s="5">
        <v>41549</v>
      </c>
      <c r="E3851" s="4" t="s">
        <v>5185</v>
      </c>
      <c r="F3851" s="4" t="s">
        <v>5292</v>
      </c>
    </row>
    <row r="3852" spans="1:6" x14ac:dyDescent="0.25">
      <c r="A3852" s="4" t="str">
        <f>CONCATENATE("3071-0000-1514","")</f>
        <v>3071-0000-1514</v>
      </c>
      <c r="B3852" s="4" t="s">
        <v>2843</v>
      </c>
      <c r="C3852" s="5">
        <v>41489</v>
      </c>
      <c r="D3852" s="5">
        <v>41549</v>
      </c>
      <c r="E3852" s="4" t="s">
        <v>1381</v>
      </c>
      <c r="F3852" s="4" t="s">
        <v>2303</v>
      </c>
    </row>
    <row r="3853" spans="1:6" x14ac:dyDescent="0.25">
      <c r="A3853" s="4" t="str">
        <f>CONCATENATE("3071-0000-3641","")</f>
        <v>3071-0000-3641</v>
      </c>
      <c r="B3853" s="4" t="s">
        <v>1649</v>
      </c>
      <c r="C3853" s="5">
        <v>41489</v>
      </c>
      <c r="D3853" s="5">
        <v>41549</v>
      </c>
      <c r="E3853" s="4" t="s">
        <v>1410</v>
      </c>
      <c r="F3853" s="4" t="s">
        <v>1601</v>
      </c>
    </row>
    <row r="3854" spans="1:6" x14ac:dyDescent="0.25">
      <c r="A3854" s="4" t="str">
        <f>CONCATENATE("3071-0000-6996","")</f>
        <v>3071-0000-6996</v>
      </c>
      <c r="B3854" s="4" t="s">
        <v>4353</v>
      </c>
      <c r="C3854" s="5">
        <v>41489</v>
      </c>
      <c r="D3854" s="5">
        <v>41549</v>
      </c>
      <c r="E3854" s="4" t="s">
        <v>1410</v>
      </c>
      <c r="F3854" s="4" t="s">
        <v>1410</v>
      </c>
    </row>
    <row r="3855" spans="1:6" x14ac:dyDescent="0.25">
      <c r="A3855" s="4" t="str">
        <f>CONCATENATE("3071-0000-1695","")</f>
        <v>3071-0000-1695</v>
      </c>
      <c r="B3855" s="4" t="s">
        <v>2897</v>
      </c>
      <c r="C3855" s="5">
        <v>41489</v>
      </c>
      <c r="D3855" s="5">
        <v>41549</v>
      </c>
      <c r="E3855" s="4" t="s">
        <v>1381</v>
      </c>
      <c r="F3855" s="4" t="s">
        <v>2662</v>
      </c>
    </row>
    <row r="3856" spans="1:6" x14ac:dyDescent="0.25">
      <c r="A3856" s="4" t="str">
        <f>CONCATENATE("3071-0000-1663","")</f>
        <v>3071-0000-1663</v>
      </c>
      <c r="B3856" s="4" t="s">
        <v>2851</v>
      </c>
      <c r="C3856" s="5">
        <v>41489</v>
      </c>
      <c r="D3856" s="5">
        <v>41549</v>
      </c>
      <c r="E3856" s="4" t="s">
        <v>1381</v>
      </c>
      <c r="F3856" s="4" t="s">
        <v>2840</v>
      </c>
    </row>
    <row r="3857" spans="1:6" x14ac:dyDescent="0.25">
      <c r="A3857" s="4" t="str">
        <f>CONCATENATE("3071-0000-1465","")</f>
        <v>3071-0000-1465</v>
      </c>
      <c r="B3857" s="4" t="s">
        <v>2910</v>
      </c>
      <c r="C3857" s="5">
        <v>41489</v>
      </c>
      <c r="D3857" s="5">
        <v>41549</v>
      </c>
      <c r="E3857" s="4" t="s">
        <v>1381</v>
      </c>
      <c r="F3857" s="4" t="s">
        <v>2303</v>
      </c>
    </row>
    <row r="3858" spans="1:6" x14ac:dyDescent="0.25">
      <c r="A3858" s="4" t="str">
        <f>CONCATENATE("3071-0000-1451","")</f>
        <v>3071-0000-1451</v>
      </c>
      <c r="B3858" s="4" t="s">
        <v>2690</v>
      </c>
      <c r="C3858" s="5">
        <v>41489</v>
      </c>
      <c r="D3858" s="5">
        <v>41549</v>
      </c>
      <c r="E3858" s="4" t="s">
        <v>1381</v>
      </c>
      <c r="F3858" s="4" t="s">
        <v>2303</v>
      </c>
    </row>
    <row r="3859" spans="1:6" x14ac:dyDescent="0.25">
      <c r="A3859" s="4" t="str">
        <f>CONCATENATE("3071-0000-0431","")</f>
        <v>3071-0000-0431</v>
      </c>
      <c r="B3859" s="4" t="s">
        <v>490</v>
      </c>
      <c r="C3859" s="5">
        <v>41489</v>
      </c>
      <c r="D3859" s="5">
        <v>41549</v>
      </c>
      <c r="E3859" s="4" t="s">
        <v>7</v>
      </c>
      <c r="F3859" s="4" t="s">
        <v>7</v>
      </c>
    </row>
    <row r="3860" spans="1:6" x14ac:dyDescent="0.25">
      <c r="A3860" s="4" t="str">
        <f>CONCATENATE("3071-0000-1779","")</f>
        <v>3071-0000-1779</v>
      </c>
      <c r="B3860" s="4" t="s">
        <v>2917</v>
      </c>
      <c r="C3860" s="5">
        <v>41489</v>
      </c>
      <c r="D3860" s="5">
        <v>41549</v>
      </c>
      <c r="E3860" s="4" t="s">
        <v>1381</v>
      </c>
      <c r="F3860" s="4" t="s">
        <v>2662</v>
      </c>
    </row>
    <row r="3861" spans="1:6" x14ac:dyDescent="0.25">
      <c r="A3861" s="4" t="str">
        <f>CONCATENATE("3071-0000-1481","")</f>
        <v>3071-0000-1481</v>
      </c>
      <c r="B3861" s="4" t="s">
        <v>2931</v>
      </c>
      <c r="C3861" s="5">
        <v>41489</v>
      </c>
      <c r="D3861" s="5">
        <v>41549</v>
      </c>
      <c r="E3861" s="4" t="s">
        <v>1381</v>
      </c>
      <c r="F3861" s="4" t="s">
        <v>2303</v>
      </c>
    </row>
    <row r="3862" spans="1:6" x14ac:dyDescent="0.25">
      <c r="A3862" s="4" t="str">
        <f>CONCATENATE("3071-0000-1460","")</f>
        <v>3071-0000-1460</v>
      </c>
      <c r="B3862" s="4" t="s">
        <v>2903</v>
      </c>
      <c r="C3862" s="5">
        <v>41489</v>
      </c>
      <c r="D3862" s="5">
        <v>41549</v>
      </c>
      <c r="E3862" s="4" t="s">
        <v>1381</v>
      </c>
      <c r="F3862" s="4" t="s">
        <v>2303</v>
      </c>
    </row>
    <row r="3863" spans="1:6" x14ac:dyDescent="0.25">
      <c r="A3863" s="4" t="str">
        <f>CONCATENATE("3071-0000-3281","")</f>
        <v>3071-0000-3281</v>
      </c>
      <c r="B3863" s="4" t="s">
        <v>961</v>
      </c>
      <c r="C3863" s="5">
        <v>41489</v>
      </c>
      <c r="D3863" s="5">
        <v>41549</v>
      </c>
      <c r="E3863" s="4" t="s">
        <v>7</v>
      </c>
      <c r="F3863" s="4" t="s">
        <v>808</v>
      </c>
    </row>
    <row r="3864" spans="1:6" x14ac:dyDescent="0.25">
      <c r="A3864" s="4" t="str">
        <f>CONCATENATE("3071-0000-2351","")</f>
        <v>3071-0000-2351</v>
      </c>
      <c r="B3864" s="4" t="s">
        <v>3424</v>
      </c>
      <c r="C3864" s="5">
        <v>41489</v>
      </c>
      <c r="D3864" s="5">
        <v>41549</v>
      </c>
      <c r="E3864" s="4" t="s">
        <v>2944</v>
      </c>
      <c r="F3864" s="4" t="s">
        <v>2945</v>
      </c>
    </row>
    <row r="3865" spans="1:6" x14ac:dyDescent="0.25">
      <c r="A3865" s="4" t="str">
        <f>CONCATENATE("3071-0000-0834","")</f>
        <v>3071-0000-0834</v>
      </c>
      <c r="B3865" s="4" t="s">
        <v>1900</v>
      </c>
      <c r="C3865" s="5">
        <v>41489</v>
      </c>
      <c r="D3865" s="5">
        <v>41549</v>
      </c>
      <c r="E3865" s="4" t="s">
        <v>1857</v>
      </c>
      <c r="F3865" s="4" t="s">
        <v>1857</v>
      </c>
    </row>
    <row r="3866" spans="1:6" x14ac:dyDescent="0.25">
      <c r="A3866" s="4" t="str">
        <f>CONCATENATE("3071-0000-1171","")</f>
        <v>3071-0000-1171</v>
      </c>
      <c r="B3866" s="4" t="s">
        <v>1860</v>
      </c>
      <c r="C3866" s="5">
        <v>41489</v>
      </c>
      <c r="D3866" s="5">
        <v>41549</v>
      </c>
      <c r="E3866" s="4" t="s">
        <v>1857</v>
      </c>
      <c r="F3866" s="4" t="s">
        <v>1857</v>
      </c>
    </row>
    <row r="3867" spans="1:6" x14ac:dyDescent="0.25">
      <c r="A3867" s="4" t="str">
        <f>CONCATENATE("3071-0000-0871","")</f>
        <v>3071-0000-0871</v>
      </c>
      <c r="B3867" s="4" t="s">
        <v>1979</v>
      </c>
      <c r="C3867" s="5">
        <v>41489</v>
      </c>
      <c r="D3867" s="5">
        <v>41549</v>
      </c>
      <c r="E3867" s="4" t="s">
        <v>1857</v>
      </c>
      <c r="F3867" s="4" t="s">
        <v>1857</v>
      </c>
    </row>
    <row r="3868" spans="1:6" x14ac:dyDescent="0.25">
      <c r="A3868" s="4" t="str">
        <f>CONCATENATE("3071-0000-8598","")</f>
        <v>3071-0000-8598</v>
      </c>
      <c r="B3868" s="4" t="s">
        <v>5454</v>
      </c>
      <c r="C3868" s="5">
        <v>41489</v>
      </c>
      <c r="D3868" s="5">
        <v>41549</v>
      </c>
      <c r="E3868" s="4" t="s">
        <v>1410</v>
      </c>
      <c r="F3868" s="4" t="s">
        <v>4616</v>
      </c>
    </row>
    <row r="3869" spans="1:6" x14ac:dyDescent="0.25">
      <c r="A3869" s="4" t="str">
        <f>CONCATENATE("3071-0000-2575","")</f>
        <v>3071-0000-2575</v>
      </c>
      <c r="B3869" s="4" t="s">
        <v>3258</v>
      </c>
      <c r="C3869" s="5">
        <v>41489</v>
      </c>
      <c r="D3869" s="5">
        <v>41549</v>
      </c>
      <c r="E3869" s="4" t="s">
        <v>2944</v>
      </c>
      <c r="F3869" s="4" t="s">
        <v>3164</v>
      </c>
    </row>
    <row r="3870" spans="1:6" x14ac:dyDescent="0.25">
      <c r="A3870" s="4" t="str">
        <f>CONCATENATE("3071-0000-0256","")</f>
        <v>3071-0000-0256</v>
      </c>
      <c r="B3870" s="4" t="s">
        <v>562</v>
      </c>
      <c r="C3870" s="5">
        <v>41489</v>
      </c>
      <c r="D3870" s="5">
        <v>41549</v>
      </c>
      <c r="E3870" s="4" t="s">
        <v>7</v>
      </c>
      <c r="F3870" s="4" t="s">
        <v>7</v>
      </c>
    </row>
    <row r="3871" spans="1:6" x14ac:dyDescent="0.25">
      <c r="A3871" s="4" t="str">
        <f>CONCATENATE("3071-0000-5978","")</f>
        <v>3071-0000-5978</v>
      </c>
      <c r="B3871" s="4" t="s">
        <v>7177</v>
      </c>
      <c r="C3871" s="5">
        <v>41489</v>
      </c>
      <c r="D3871" s="5">
        <v>41549</v>
      </c>
      <c r="E3871" s="4" t="s">
        <v>5185</v>
      </c>
      <c r="F3871" s="4" t="s">
        <v>5185</v>
      </c>
    </row>
    <row r="3872" spans="1:6" x14ac:dyDescent="0.25">
      <c r="A3872" s="4" t="str">
        <f>CONCATENATE("3071-0000-3201","")</f>
        <v>3071-0000-3201</v>
      </c>
      <c r="B3872" s="4" t="s">
        <v>1172</v>
      </c>
      <c r="C3872" s="5">
        <v>41489</v>
      </c>
      <c r="D3872" s="5">
        <v>41549</v>
      </c>
      <c r="E3872" s="4" t="s">
        <v>7</v>
      </c>
      <c r="F3872" s="4" t="s">
        <v>808</v>
      </c>
    </row>
    <row r="3873" spans="1:6" x14ac:dyDescent="0.25">
      <c r="A3873" s="4" t="str">
        <f>CONCATENATE("3071-0000-3053","")</f>
        <v>3071-0000-3053</v>
      </c>
      <c r="B3873" s="4" t="s">
        <v>1011</v>
      </c>
      <c r="C3873" s="5">
        <v>41489</v>
      </c>
      <c r="D3873" s="5">
        <v>41549</v>
      </c>
      <c r="E3873" s="4" t="s">
        <v>7</v>
      </c>
      <c r="F3873" s="4" t="s">
        <v>808</v>
      </c>
    </row>
    <row r="3874" spans="1:6" x14ac:dyDescent="0.25">
      <c r="A3874" s="4" t="str">
        <f>CONCATENATE("3071-0000-0884","")</f>
        <v>3071-0000-0884</v>
      </c>
      <c r="B3874" s="4" t="s">
        <v>2022</v>
      </c>
      <c r="C3874" s="5">
        <v>41489</v>
      </c>
      <c r="D3874" s="5">
        <v>41549</v>
      </c>
      <c r="E3874" s="4" t="s">
        <v>1857</v>
      </c>
      <c r="F3874" s="4" t="s">
        <v>1857</v>
      </c>
    </row>
    <row r="3875" spans="1:6" x14ac:dyDescent="0.25">
      <c r="A3875" s="4" t="str">
        <f>CONCATENATE("3071-0000-3021","")</f>
        <v>3071-0000-3021</v>
      </c>
      <c r="B3875" s="4" t="s">
        <v>1209</v>
      </c>
      <c r="C3875" s="5">
        <v>41489</v>
      </c>
      <c r="D3875" s="5">
        <v>41549</v>
      </c>
      <c r="E3875" s="4" t="s">
        <v>7</v>
      </c>
      <c r="F3875" s="4" t="s">
        <v>808</v>
      </c>
    </row>
    <row r="3876" spans="1:6" x14ac:dyDescent="0.25">
      <c r="A3876" s="4" t="str">
        <f>CONCATENATE("3071-0000-0364","")</f>
        <v>3071-0000-0364</v>
      </c>
      <c r="B3876" s="4" t="s">
        <v>746</v>
      </c>
      <c r="C3876" s="5">
        <v>41489</v>
      </c>
      <c r="D3876" s="5">
        <v>41549</v>
      </c>
      <c r="E3876" s="4" t="s">
        <v>7</v>
      </c>
      <c r="F3876" s="4" t="s">
        <v>7</v>
      </c>
    </row>
    <row r="3877" spans="1:6" x14ac:dyDescent="0.25">
      <c r="A3877" s="4" t="str">
        <f>CONCATENATE("3071-0000-2960","")</f>
        <v>3071-0000-2960</v>
      </c>
      <c r="B3877" s="4" t="s">
        <v>1192</v>
      </c>
      <c r="C3877" s="5">
        <v>41489</v>
      </c>
      <c r="D3877" s="5">
        <v>41549</v>
      </c>
      <c r="E3877" s="4" t="s">
        <v>7</v>
      </c>
      <c r="F3877" s="4" t="s">
        <v>808</v>
      </c>
    </row>
    <row r="3878" spans="1:6" x14ac:dyDescent="0.25">
      <c r="A3878" s="4" t="str">
        <f>CONCATENATE("3071-0000-0810","")</f>
        <v>3071-0000-0810</v>
      </c>
      <c r="B3878" s="4" t="s">
        <v>1868</v>
      </c>
      <c r="C3878" s="5">
        <v>41489</v>
      </c>
      <c r="D3878" s="5">
        <v>41549</v>
      </c>
      <c r="E3878" s="4" t="s">
        <v>1857</v>
      </c>
      <c r="F3878" s="4" t="s">
        <v>1857</v>
      </c>
    </row>
    <row r="3879" spans="1:6" x14ac:dyDescent="0.25">
      <c r="A3879" s="4" t="str">
        <f>CONCATENATE("3071-0000-2366","")</f>
        <v>3071-0000-2366</v>
      </c>
      <c r="B3879" s="4" t="s">
        <v>3423</v>
      </c>
      <c r="C3879" s="5">
        <v>41489</v>
      </c>
      <c r="D3879" s="5">
        <v>41549</v>
      </c>
      <c r="E3879" s="4" t="s">
        <v>2944</v>
      </c>
      <c r="F3879" s="4" t="s">
        <v>2945</v>
      </c>
    </row>
    <row r="3880" spans="1:6" x14ac:dyDescent="0.25">
      <c r="A3880" s="4" t="str">
        <f>CONCATENATE("3071-0000-2943","")</f>
        <v>3071-0000-2943</v>
      </c>
      <c r="B3880" s="4" t="s">
        <v>1348</v>
      </c>
      <c r="C3880" s="5">
        <v>41489</v>
      </c>
      <c r="D3880" s="5">
        <v>41549</v>
      </c>
      <c r="E3880" s="4" t="s">
        <v>7</v>
      </c>
      <c r="F3880" s="4" t="s">
        <v>808</v>
      </c>
    </row>
    <row r="3881" spans="1:6" x14ac:dyDescent="0.25">
      <c r="A3881" s="4" t="str">
        <f>CONCATENATE("3071-0000-2740","")</f>
        <v>3071-0000-2740</v>
      </c>
      <c r="B3881" s="4" t="s">
        <v>834</v>
      </c>
      <c r="C3881" s="5">
        <v>41489</v>
      </c>
      <c r="D3881" s="5">
        <v>41549</v>
      </c>
      <c r="E3881" s="4" t="s">
        <v>7</v>
      </c>
      <c r="F3881" s="4" t="s">
        <v>808</v>
      </c>
    </row>
    <row r="3882" spans="1:6" x14ac:dyDescent="0.25">
      <c r="A3882" s="4" t="str">
        <f>CONCATENATE("3071-0000-3612","")</f>
        <v>3071-0000-3612</v>
      </c>
      <c r="B3882" s="4" t="s">
        <v>1456</v>
      </c>
      <c r="C3882" s="5">
        <v>41489</v>
      </c>
      <c r="D3882" s="5">
        <v>41549</v>
      </c>
      <c r="E3882" s="4" t="s">
        <v>1410</v>
      </c>
      <c r="F3882" s="4" t="s">
        <v>1411</v>
      </c>
    </row>
    <row r="3883" spans="1:6" x14ac:dyDescent="0.25">
      <c r="A3883" s="4" t="str">
        <f>CONCATENATE("3071-0000-3607","")</f>
        <v>3071-0000-3607</v>
      </c>
      <c r="B3883" s="4" t="s">
        <v>1452</v>
      </c>
      <c r="C3883" s="5">
        <v>41489</v>
      </c>
      <c r="D3883" s="5">
        <v>41549</v>
      </c>
      <c r="E3883" s="4" t="s">
        <v>1410</v>
      </c>
      <c r="F3883" s="4" t="s">
        <v>1411</v>
      </c>
    </row>
    <row r="3884" spans="1:6" x14ac:dyDescent="0.25">
      <c r="A3884" s="4" t="str">
        <f>CONCATENATE("3071-0000-3715","")</f>
        <v>3071-0000-3715</v>
      </c>
      <c r="B3884" s="4" t="s">
        <v>1426</v>
      </c>
      <c r="C3884" s="5">
        <v>41489</v>
      </c>
      <c r="D3884" s="5">
        <v>41549</v>
      </c>
      <c r="E3884" s="4" t="s">
        <v>1410</v>
      </c>
      <c r="F3884" s="4" t="s">
        <v>1411</v>
      </c>
    </row>
    <row r="3885" spans="1:6" x14ac:dyDescent="0.25">
      <c r="A3885" s="4" t="str">
        <f>CONCATENATE("3071-0000-9295","")</f>
        <v>3071-0000-9295</v>
      </c>
      <c r="B3885" s="4" t="s">
        <v>8304</v>
      </c>
      <c r="C3885" s="5">
        <v>41489</v>
      </c>
      <c r="D3885" s="5">
        <v>41549</v>
      </c>
      <c r="E3885" s="4" t="s">
        <v>5185</v>
      </c>
      <c r="F3885" s="4" t="s">
        <v>5185</v>
      </c>
    </row>
    <row r="3886" spans="1:6" x14ac:dyDescent="0.25">
      <c r="A3886" s="4" t="str">
        <f>CONCATENATE("3071-0000-6817","")</f>
        <v>3071-0000-6817</v>
      </c>
      <c r="B3886" s="4" t="s">
        <v>8156</v>
      </c>
      <c r="C3886" s="5">
        <v>41489</v>
      </c>
      <c r="D3886" s="5">
        <v>41549</v>
      </c>
      <c r="E3886" s="4" t="s">
        <v>1410</v>
      </c>
      <c r="F3886" s="4" t="s">
        <v>7967</v>
      </c>
    </row>
    <row r="3887" spans="1:6" x14ac:dyDescent="0.25">
      <c r="A3887" s="4" t="str">
        <f>CONCATENATE("3071-0000-5028","")</f>
        <v>3071-0000-5028</v>
      </c>
      <c r="B3887" s="4" t="s">
        <v>8819</v>
      </c>
      <c r="C3887" s="5">
        <v>41489</v>
      </c>
      <c r="D3887" s="5">
        <v>41549</v>
      </c>
      <c r="E3887" s="4" t="s">
        <v>1410</v>
      </c>
      <c r="F3887" s="4" t="s">
        <v>5258</v>
      </c>
    </row>
    <row r="3888" spans="1:6" x14ac:dyDescent="0.25">
      <c r="A3888" s="4" t="str">
        <f>CONCATENATE("3071-0000-8586","")</f>
        <v>3071-0000-8586</v>
      </c>
      <c r="B3888" s="4" t="s">
        <v>5451</v>
      </c>
      <c r="C3888" s="5">
        <v>41489</v>
      </c>
      <c r="D3888" s="5">
        <v>41549</v>
      </c>
      <c r="E3888" s="4" t="s">
        <v>1410</v>
      </c>
      <c r="F3888" s="4" t="s">
        <v>4616</v>
      </c>
    </row>
    <row r="3889" spans="1:6" x14ac:dyDescent="0.25">
      <c r="A3889" s="4" t="str">
        <f>CONCATENATE("3071-0000-5480","")</f>
        <v>3071-0000-5480</v>
      </c>
      <c r="B3889" s="4" t="s">
        <v>6696</v>
      </c>
      <c r="C3889" s="5">
        <v>41489</v>
      </c>
      <c r="D3889" s="5">
        <v>41549</v>
      </c>
      <c r="E3889" s="4" t="s">
        <v>1410</v>
      </c>
      <c r="F3889" s="4" t="s">
        <v>6635</v>
      </c>
    </row>
    <row r="3890" spans="1:6" x14ac:dyDescent="0.25">
      <c r="A3890" s="4" t="str">
        <f>CONCATENATE("3071-0000-9361","")</f>
        <v>3071-0000-9361</v>
      </c>
      <c r="B3890" s="4" t="s">
        <v>8442</v>
      </c>
      <c r="C3890" s="5">
        <v>41489</v>
      </c>
      <c r="D3890" s="5">
        <v>41549</v>
      </c>
      <c r="E3890" s="4" t="s">
        <v>1410</v>
      </c>
      <c r="F3890" s="4" t="s">
        <v>4459</v>
      </c>
    </row>
    <row r="3891" spans="1:6" x14ac:dyDescent="0.25">
      <c r="A3891" s="4" t="str">
        <f>CONCATENATE("3071-0000-6680","")</f>
        <v>3071-0000-6680</v>
      </c>
      <c r="B3891" s="4" t="s">
        <v>8039</v>
      </c>
      <c r="C3891" s="5">
        <v>41489</v>
      </c>
      <c r="D3891" s="5">
        <v>41549</v>
      </c>
      <c r="E3891" s="4" t="s">
        <v>5185</v>
      </c>
      <c r="F3891" s="4" t="s">
        <v>5185</v>
      </c>
    </row>
    <row r="3892" spans="1:6" x14ac:dyDescent="0.25">
      <c r="A3892" s="4" t="str">
        <f>CONCATENATE("3071-0000-6679","")</f>
        <v>3071-0000-6679</v>
      </c>
      <c r="B3892" s="4" t="s">
        <v>8037</v>
      </c>
      <c r="C3892" s="5">
        <v>41489</v>
      </c>
      <c r="D3892" s="5">
        <v>41549</v>
      </c>
      <c r="E3892" s="4" t="s">
        <v>5185</v>
      </c>
      <c r="F3892" s="4" t="s">
        <v>5185</v>
      </c>
    </row>
    <row r="3893" spans="1:6" x14ac:dyDescent="0.25">
      <c r="A3893" s="4" t="str">
        <f>CONCATENATE("3071-0000-6760","")</f>
        <v>3071-0000-6760</v>
      </c>
      <c r="B3893" s="4" t="s">
        <v>7940</v>
      </c>
      <c r="C3893" s="5">
        <v>41489</v>
      </c>
      <c r="D3893" s="5">
        <v>41549</v>
      </c>
      <c r="E3893" s="4" t="s">
        <v>1410</v>
      </c>
      <c r="F3893" s="4" t="s">
        <v>4655</v>
      </c>
    </row>
    <row r="3894" spans="1:6" x14ac:dyDescent="0.25">
      <c r="A3894" s="4" t="str">
        <f>CONCATENATE("3071-0000-6836","")</f>
        <v>3071-0000-6836</v>
      </c>
      <c r="B3894" s="4" t="s">
        <v>8001</v>
      </c>
      <c r="C3894" s="5">
        <v>41489</v>
      </c>
      <c r="D3894" s="5">
        <v>41549</v>
      </c>
      <c r="E3894" s="4" t="s">
        <v>1410</v>
      </c>
      <c r="F3894" s="4" t="s">
        <v>7967</v>
      </c>
    </row>
    <row r="3895" spans="1:6" x14ac:dyDescent="0.25">
      <c r="A3895" s="4" t="str">
        <f>CONCATENATE("3071-0000-9285","")</f>
        <v>3071-0000-9285</v>
      </c>
      <c r="B3895" s="4" t="s">
        <v>8330</v>
      </c>
      <c r="C3895" s="5">
        <v>41489</v>
      </c>
      <c r="D3895" s="5">
        <v>41549</v>
      </c>
      <c r="E3895" s="4" t="s">
        <v>5185</v>
      </c>
      <c r="F3895" s="4" t="s">
        <v>5185</v>
      </c>
    </row>
    <row r="3896" spans="1:6" x14ac:dyDescent="0.25">
      <c r="A3896" s="4" t="str">
        <f>CONCATENATE("3071-0000-8909","")</f>
        <v>3071-0000-8909</v>
      </c>
      <c r="B3896" s="4" t="s">
        <v>5661</v>
      </c>
      <c r="C3896" s="5">
        <v>41489</v>
      </c>
      <c r="D3896" s="5">
        <v>41549</v>
      </c>
      <c r="E3896" s="4" t="s">
        <v>5185</v>
      </c>
      <c r="F3896" s="4" t="s">
        <v>5250</v>
      </c>
    </row>
    <row r="3897" spans="1:6" x14ac:dyDescent="0.25">
      <c r="A3897" s="4" t="str">
        <f>CONCATENATE("3071-0000-8201","")</f>
        <v>3071-0000-8201</v>
      </c>
      <c r="B3897" s="4" t="s">
        <v>5839</v>
      </c>
      <c r="C3897" s="5">
        <v>41489</v>
      </c>
      <c r="D3897" s="5">
        <v>41549</v>
      </c>
      <c r="E3897" s="4" t="s">
        <v>5185</v>
      </c>
      <c r="F3897" s="4" t="s">
        <v>5185</v>
      </c>
    </row>
    <row r="3898" spans="1:6" x14ac:dyDescent="0.25">
      <c r="A3898" s="4" t="str">
        <f>CONCATENATE("3071-0000-8562","")</f>
        <v>3071-0000-8562</v>
      </c>
      <c r="B3898" s="4" t="s">
        <v>5751</v>
      </c>
      <c r="C3898" s="5">
        <v>41489</v>
      </c>
      <c r="D3898" s="5">
        <v>41549</v>
      </c>
      <c r="E3898" s="4" t="s">
        <v>5185</v>
      </c>
      <c r="F3898" s="4" t="s">
        <v>5250</v>
      </c>
    </row>
    <row r="3899" spans="1:6" x14ac:dyDescent="0.25">
      <c r="A3899" s="4" t="str">
        <f>CONCATENATE("3071-0000-7925","")</f>
        <v>3071-0000-7925</v>
      </c>
      <c r="B3899" s="4" t="s">
        <v>5553</v>
      </c>
      <c r="C3899" s="5">
        <v>41489</v>
      </c>
      <c r="D3899" s="5">
        <v>41549</v>
      </c>
      <c r="E3899" s="4" t="s">
        <v>5185</v>
      </c>
      <c r="F3899" s="4" t="s">
        <v>5185</v>
      </c>
    </row>
    <row r="3900" spans="1:6" x14ac:dyDescent="0.25">
      <c r="A3900" s="4" t="str">
        <f>CONCATENATE("3071-0000-8564","")</f>
        <v>3071-0000-8564</v>
      </c>
      <c r="B3900" s="4" t="s">
        <v>5742</v>
      </c>
      <c r="C3900" s="5">
        <v>41489</v>
      </c>
      <c r="D3900" s="5">
        <v>41549</v>
      </c>
      <c r="E3900" s="4" t="s">
        <v>5185</v>
      </c>
      <c r="F3900" s="4" t="s">
        <v>5250</v>
      </c>
    </row>
    <row r="3901" spans="1:6" x14ac:dyDescent="0.25">
      <c r="A3901" s="4" t="str">
        <f>CONCATENATE("3071-0000-3019","")</f>
        <v>3071-0000-3019</v>
      </c>
      <c r="B3901" s="4" t="s">
        <v>1231</v>
      </c>
      <c r="C3901" s="5">
        <v>41489</v>
      </c>
      <c r="D3901" s="5">
        <v>41549</v>
      </c>
      <c r="E3901" s="4" t="s">
        <v>7</v>
      </c>
      <c r="F3901" s="4" t="s">
        <v>808</v>
      </c>
    </row>
    <row r="3902" spans="1:6" x14ac:dyDescent="0.25">
      <c r="A3902" s="4" t="str">
        <f>CONCATENATE("3071-0000-5198","")</f>
        <v>3071-0000-5198</v>
      </c>
      <c r="B3902" s="4" t="s">
        <v>8746</v>
      </c>
      <c r="C3902" s="5">
        <v>41489</v>
      </c>
      <c r="D3902" s="5">
        <v>41549</v>
      </c>
      <c r="E3902" s="4" t="s">
        <v>1410</v>
      </c>
      <c r="F3902" s="4" t="s">
        <v>8696</v>
      </c>
    </row>
    <row r="3903" spans="1:6" x14ac:dyDescent="0.25">
      <c r="A3903" s="4" t="str">
        <f>CONCATENATE("3071-0000-4089","")</f>
        <v>3071-0000-4089</v>
      </c>
      <c r="B3903" s="4" t="s">
        <v>3998</v>
      </c>
      <c r="C3903" s="5">
        <v>41489</v>
      </c>
      <c r="D3903" s="5">
        <v>41549</v>
      </c>
      <c r="E3903" s="4" t="s">
        <v>1381</v>
      </c>
      <c r="F3903" s="4" t="s">
        <v>3994</v>
      </c>
    </row>
    <row r="3904" spans="1:6" x14ac:dyDescent="0.25">
      <c r="A3904" s="4" t="str">
        <f>CONCATENATE("3071-0000-0951","")</f>
        <v>3071-0000-0951</v>
      </c>
      <c r="B3904" s="4" t="s">
        <v>2157</v>
      </c>
      <c r="C3904" s="5">
        <v>41489</v>
      </c>
      <c r="D3904" s="5">
        <v>41549</v>
      </c>
      <c r="E3904" s="4" t="s">
        <v>1857</v>
      </c>
      <c r="F3904" s="4" t="s">
        <v>1857</v>
      </c>
    </row>
    <row r="3905" spans="1:6" x14ac:dyDescent="0.25">
      <c r="A3905" s="4" t="str">
        <f>CONCATENATE("3071-0000-4751","")</f>
        <v>3071-0000-4751</v>
      </c>
      <c r="B3905" s="4" t="s">
        <v>8883</v>
      </c>
      <c r="C3905" s="5">
        <v>41489</v>
      </c>
      <c r="D3905" s="5">
        <v>41549</v>
      </c>
      <c r="E3905" s="4" t="s">
        <v>1410</v>
      </c>
      <c r="F3905" s="4" t="s">
        <v>8696</v>
      </c>
    </row>
    <row r="3906" spans="1:6" x14ac:dyDescent="0.25">
      <c r="A3906" s="4" t="str">
        <f>CONCATENATE("3071-0000-0668","")</f>
        <v>3071-0000-0668</v>
      </c>
      <c r="B3906" s="4" t="s">
        <v>801</v>
      </c>
      <c r="C3906" s="5">
        <v>41489</v>
      </c>
      <c r="D3906" s="5">
        <v>41549</v>
      </c>
      <c r="E3906" s="4" t="s">
        <v>7</v>
      </c>
      <c r="F3906" s="4" t="s">
        <v>7</v>
      </c>
    </row>
    <row r="3907" spans="1:6" x14ac:dyDescent="0.25">
      <c r="A3907" s="4" t="str">
        <f>CONCATENATE("3071-0000-3814","")</f>
        <v>3071-0000-3814</v>
      </c>
      <c r="B3907" s="4" t="s">
        <v>3849</v>
      </c>
      <c r="C3907" s="5">
        <v>41489</v>
      </c>
      <c r="D3907" s="5">
        <v>41549</v>
      </c>
      <c r="E3907" s="4" t="s">
        <v>7</v>
      </c>
      <c r="F3907" s="4" t="s">
        <v>3818</v>
      </c>
    </row>
    <row r="3908" spans="1:6" x14ac:dyDescent="0.25">
      <c r="A3908" s="4" t="str">
        <f>CONCATENATE("3071-0000-4073","")</f>
        <v>3071-0000-4073</v>
      </c>
      <c r="B3908" s="4" t="s">
        <v>3846</v>
      </c>
      <c r="C3908" s="5">
        <v>41489</v>
      </c>
      <c r="D3908" s="5">
        <v>41549</v>
      </c>
      <c r="E3908" s="4" t="s">
        <v>7</v>
      </c>
      <c r="F3908" s="4" t="s">
        <v>3818</v>
      </c>
    </row>
    <row r="3909" spans="1:6" x14ac:dyDescent="0.25">
      <c r="A3909" s="4" t="str">
        <f>CONCATENATE("3071-0000-3800","")</f>
        <v>3071-0000-3800</v>
      </c>
      <c r="B3909" s="4" t="s">
        <v>3833</v>
      </c>
      <c r="C3909" s="5">
        <v>41489</v>
      </c>
      <c r="D3909" s="5">
        <v>41549</v>
      </c>
      <c r="E3909" s="4" t="s">
        <v>7</v>
      </c>
      <c r="F3909" s="4" t="s">
        <v>3818</v>
      </c>
    </row>
    <row r="3910" spans="1:6" x14ac:dyDescent="0.25">
      <c r="A3910" s="4" t="str">
        <f>CONCATENATE("3071-0000-4161","")</f>
        <v>3071-0000-4161</v>
      </c>
      <c r="B3910" s="4" t="s">
        <v>3834</v>
      </c>
      <c r="C3910" s="5">
        <v>41489</v>
      </c>
      <c r="D3910" s="5">
        <v>41549</v>
      </c>
      <c r="E3910" s="4" t="s">
        <v>7</v>
      </c>
      <c r="F3910" s="4" t="s">
        <v>3818</v>
      </c>
    </row>
    <row r="3911" spans="1:6" x14ac:dyDescent="0.25">
      <c r="A3911" s="4" t="str">
        <f>CONCATENATE("3071-0000-2269","")</f>
        <v>3071-0000-2269</v>
      </c>
      <c r="B3911" s="4" t="s">
        <v>3772</v>
      </c>
      <c r="C3911" s="5">
        <v>41489</v>
      </c>
      <c r="D3911" s="5">
        <v>41549</v>
      </c>
      <c r="E3911" s="4" t="s">
        <v>2944</v>
      </c>
      <c r="F3911" s="4" t="s">
        <v>2945</v>
      </c>
    </row>
    <row r="3912" spans="1:6" x14ac:dyDescent="0.25">
      <c r="A3912" s="4" t="str">
        <f>CONCATENATE("3071-0000-0021","")</f>
        <v>3071-0000-0021</v>
      </c>
      <c r="B3912" s="4" t="s">
        <v>38</v>
      </c>
      <c r="C3912" s="5">
        <v>41489</v>
      </c>
      <c r="D3912" s="5">
        <v>41549</v>
      </c>
      <c r="E3912" s="4" t="s">
        <v>7</v>
      </c>
      <c r="F3912" s="4" t="s">
        <v>7</v>
      </c>
    </row>
    <row r="3913" spans="1:6" x14ac:dyDescent="0.25">
      <c r="A3913" s="4" t="str">
        <f>CONCATENATE("3071-0000-4183","")</f>
        <v>3071-0000-4183</v>
      </c>
      <c r="B3913" s="4" t="s">
        <v>3837</v>
      </c>
      <c r="C3913" s="5">
        <v>41489</v>
      </c>
      <c r="D3913" s="5">
        <v>41549</v>
      </c>
      <c r="E3913" s="4" t="s">
        <v>7</v>
      </c>
      <c r="F3913" s="4" t="s">
        <v>3818</v>
      </c>
    </row>
    <row r="3914" spans="1:6" x14ac:dyDescent="0.25">
      <c r="A3914" s="4" t="str">
        <f>CONCATENATE("3071-0000-1507","")</f>
        <v>3071-0000-1507</v>
      </c>
      <c r="B3914" s="4" t="s">
        <v>2796</v>
      </c>
      <c r="C3914" s="5">
        <v>41489</v>
      </c>
      <c r="D3914" s="5">
        <v>41549</v>
      </c>
      <c r="E3914" s="4" t="s">
        <v>1381</v>
      </c>
      <c r="F3914" s="4" t="s">
        <v>2303</v>
      </c>
    </row>
    <row r="3915" spans="1:6" x14ac:dyDescent="0.25">
      <c r="A3915" s="4" t="str">
        <f>CONCATENATE("3071-0000-7669","")</f>
        <v>3071-0000-7669</v>
      </c>
      <c r="B3915" s="4" t="s">
        <v>5155</v>
      </c>
      <c r="C3915" s="5">
        <v>41489</v>
      </c>
      <c r="D3915" s="5">
        <v>41549</v>
      </c>
      <c r="E3915" s="4" t="s">
        <v>1410</v>
      </c>
      <c r="F3915" s="4" t="s">
        <v>4616</v>
      </c>
    </row>
    <row r="3916" spans="1:6" x14ac:dyDescent="0.25">
      <c r="A3916" s="4" t="str">
        <f>CONCATENATE("3071-0000-6899","")</f>
        <v>3071-0000-6899</v>
      </c>
      <c r="B3916" s="4" t="s">
        <v>4304</v>
      </c>
      <c r="C3916" s="5">
        <v>41489</v>
      </c>
      <c r="D3916" s="5">
        <v>41549</v>
      </c>
      <c r="E3916" s="4" t="s">
        <v>1410</v>
      </c>
      <c r="F3916" s="4" t="s">
        <v>1410</v>
      </c>
    </row>
    <row r="3917" spans="1:6" x14ac:dyDescent="0.25">
      <c r="A3917" s="4" t="str">
        <f>CONCATENATE("3071-0000-2818","")</f>
        <v>3071-0000-2818</v>
      </c>
      <c r="B3917" s="4" t="s">
        <v>1032</v>
      </c>
      <c r="C3917" s="5">
        <v>41489</v>
      </c>
      <c r="D3917" s="5">
        <v>41549</v>
      </c>
      <c r="E3917" s="4" t="s">
        <v>7</v>
      </c>
      <c r="F3917" s="4" t="s">
        <v>808</v>
      </c>
    </row>
    <row r="3918" spans="1:6" x14ac:dyDescent="0.25">
      <c r="A3918" s="4" t="str">
        <f>CONCATENATE("3071-0000-5382","")</f>
        <v>3071-0000-5382</v>
      </c>
      <c r="B3918" s="4" t="s">
        <v>6824</v>
      </c>
      <c r="C3918" s="5">
        <v>41489</v>
      </c>
      <c r="D3918" s="5">
        <v>41549</v>
      </c>
      <c r="E3918" s="4" t="s">
        <v>5185</v>
      </c>
      <c r="F3918" s="4" t="s">
        <v>5185</v>
      </c>
    </row>
    <row r="3919" spans="1:6" x14ac:dyDescent="0.25">
      <c r="A3919" s="4" t="str">
        <f>CONCATENATE("3071-0000-8873","")</f>
        <v>3071-0000-8873</v>
      </c>
      <c r="B3919" s="4" t="s">
        <v>6524</v>
      </c>
      <c r="C3919" s="5">
        <v>41489</v>
      </c>
      <c r="D3919" s="5">
        <v>41549</v>
      </c>
      <c r="E3919" s="4" t="s">
        <v>5185</v>
      </c>
      <c r="F3919" s="4" t="s">
        <v>5292</v>
      </c>
    </row>
    <row r="3920" spans="1:6" x14ac:dyDescent="0.25">
      <c r="A3920" s="4" t="str">
        <f>CONCATENATE("3071-0000-5960","")</f>
        <v>3071-0000-5960</v>
      </c>
      <c r="B3920" s="4" t="s">
        <v>7598</v>
      </c>
      <c r="C3920" s="5">
        <v>41489</v>
      </c>
      <c r="D3920" s="5">
        <v>41549</v>
      </c>
      <c r="E3920" s="4" t="s">
        <v>5185</v>
      </c>
      <c r="F3920" s="4" t="s">
        <v>5185</v>
      </c>
    </row>
    <row r="3921" spans="1:6" x14ac:dyDescent="0.25">
      <c r="A3921" s="4" t="str">
        <f>CONCATENATE("3071-0000-4208","")</f>
        <v>3071-0000-4208</v>
      </c>
      <c r="B3921" s="4" t="s">
        <v>3816</v>
      </c>
      <c r="C3921" s="5">
        <v>41489</v>
      </c>
      <c r="D3921" s="5">
        <v>41549</v>
      </c>
      <c r="E3921" s="4" t="s">
        <v>7</v>
      </c>
      <c r="F3921" s="4" t="s">
        <v>3813</v>
      </c>
    </row>
    <row r="3922" spans="1:6" x14ac:dyDescent="0.25">
      <c r="A3922" s="4" t="str">
        <f>CONCATENATE("3071-0000-8997","")</f>
        <v>3071-0000-8997</v>
      </c>
      <c r="B3922" s="4" t="s">
        <v>6529</v>
      </c>
      <c r="C3922" s="5">
        <v>41489</v>
      </c>
      <c r="D3922" s="5">
        <v>41549</v>
      </c>
      <c r="E3922" s="4" t="s">
        <v>5185</v>
      </c>
      <c r="F3922" s="4" t="s">
        <v>5292</v>
      </c>
    </row>
    <row r="3923" spans="1:6" x14ac:dyDescent="0.25">
      <c r="A3923" s="4" t="str">
        <f>CONCATENATE("3071-0000-9056","")</f>
        <v>3071-0000-9056</v>
      </c>
      <c r="B3923" s="4" t="s">
        <v>6487</v>
      </c>
      <c r="C3923" s="5">
        <v>41489</v>
      </c>
      <c r="D3923" s="5">
        <v>41549</v>
      </c>
      <c r="E3923" s="4" t="s">
        <v>5185</v>
      </c>
      <c r="F3923" s="4" t="s">
        <v>5292</v>
      </c>
    </row>
    <row r="3924" spans="1:6" x14ac:dyDescent="0.25">
      <c r="A3924" s="4" t="str">
        <f>CONCATENATE("3071-0000-6910","")</f>
        <v>3071-0000-6910</v>
      </c>
      <c r="B3924" s="4" t="s">
        <v>4270</v>
      </c>
      <c r="C3924" s="5">
        <v>41489</v>
      </c>
      <c r="D3924" s="5">
        <v>41549</v>
      </c>
      <c r="E3924" s="4" t="s">
        <v>1410</v>
      </c>
      <c r="F3924" s="4" t="s">
        <v>1410</v>
      </c>
    </row>
    <row r="3925" spans="1:6" x14ac:dyDescent="0.25">
      <c r="A3925" s="4" t="str">
        <f>CONCATENATE("3071-0000-8152","")</f>
        <v>3071-0000-8152</v>
      </c>
      <c r="B3925" s="4" t="s">
        <v>5390</v>
      </c>
      <c r="C3925" s="5">
        <v>41489</v>
      </c>
      <c r="D3925" s="5">
        <v>41549</v>
      </c>
      <c r="E3925" s="4" t="s">
        <v>5185</v>
      </c>
      <c r="F3925" s="4" t="s">
        <v>5185</v>
      </c>
    </row>
    <row r="3926" spans="1:6" x14ac:dyDescent="0.25">
      <c r="A3926" s="4" t="str">
        <f>CONCATENATE("3071-0000-8686","")</f>
        <v>3071-0000-8686</v>
      </c>
      <c r="B3926" s="4" t="s">
        <v>6453</v>
      </c>
      <c r="C3926" s="5">
        <v>41489</v>
      </c>
      <c r="D3926" s="5">
        <v>41549</v>
      </c>
      <c r="E3926" s="4" t="s">
        <v>5185</v>
      </c>
      <c r="F3926" s="4" t="s">
        <v>5292</v>
      </c>
    </row>
    <row r="3927" spans="1:6" x14ac:dyDescent="0.25">
      <c r="A3927" s="4" t="str">
        <f>CONCATENATE("3071-0000-7263","")</f>
        <v>3071-0000-7263</v>
      </c>
      <c r="B3927" s="4" t="s">
        <v>5049</v>
      </c>
      <c r="C3927" s="5">
        <v>41489</v>
      </c>
      <c r="D3927" s="5">
        <v>41549</v>
      </c>
      <c r="E3927" s="4" t="s">
        <v>1410</v>
      </c>
      <c r="F3927" s="4" t="s">
        <v>1410</v>
      </c>
    </row>
    <row r="3928" spans="1:6" x14ac:dyDescent="0.25">
      <c r="A3928" s="4" t="str">
        <f>CONCATENATE("3071-0000-6482","")</f>
        <v>3071-0000-6482</v>
      </c>
      <c r="B3928" s="4" t="s">
        <v>7780</v>
      </c>
      <c r="C3928" s="5">
        <v>41489</v>
      </c>
      <c r="D3928" s="5">
        <v>41549</v>
      </c>
      <c r="E3928" s="4" t="s">
        <v>5185</v>
      </c>
      <c r="F3928" s="4" t="s">
        <v>5185</v>
      </c>
    </row>
    <row r="3929" spans="1:6" x14ac:dyDescent="0.25">
      <c r="A3929" s="4" t="str">
        <f>CONCATENATE("3071-0000-7222","")</f>
        <v>3071-0000-7222</v>
      </c>
      <c r="B3929" s="4" t="s">
        <v>5007</v>
      </c>
      <c r="C3929" s="5">
        <v>41489</v>
      </c>
      <c r="D3929" s="5">
        <v>41549</v>
      </c>
      <c r="E3929" s="4" t="s">
        <v>1410</v>
      </c>
      <c r="F3929" s="4" t="s">
        <v>1410</v>
      </c>
    </row>
    <row r="3930" spans="1:6" x14ac:dyDescent="0.25">
      <c r="A3930" s="4" t="str">
        <f>CONCATENATE("3071-0000-2889","")</f>
        <v>3071-0000-2889</v>
      </c>
      <c r="B3930" s="4" t="s">
        <v>1384</v>
      </c>
      <c r="C3930" s="5">
        <v>41489</v>
      </c>
      <c r="D3930" s="5">
        <v>41549</v>
      </c>
      <c r="E3930" s="4" t="s">
        <v>7</v>
      </c>
      <c r="F3930" s="4" t="s">
        <v>808</v>
      </c>
    </row>
    <row r="3931" spans="1:6" x14ac:dyDescent="0.25">
      <c r="A3931" s="4" t="str">
        <f>CONCATENATE("3071-0000-4749","")</f>
        <v>3071-0000-4749</v>
      </c>
      <c r="B3931" s="4" t="s">
        <v>9629</v>
      </c>
      <c r="C3931" s="5">
        <v>41489</v>
      </c>
      <c r="D3931" s="5">
        <v>41549</v>
      </c>
      <c r="E3931" s="4" t="s">
        <v>1410</v>
      </c>
      <c r="F3931" s="4" t="s">
        <v>8696</v>
      </c>
    </row>
    <row r="3932" spans="1:6" x14ac:dyDescent="0.25">
      <c r="A3932" s="4" t="str">
        <f>CONCATENATE("3071-0000-1939","")</f>
        <v>3071-0000-1939</v>
      </c>
      <c r="B3932" s="4" t="s">
        <v>3043</v>
      </c>
      <c r="C3932" s="5">
        <v>41489</v>
      </c>
      <c r="D3932" s="5">
        <v>41549</v>
      </c>
      <c r="E3932" s="4" t="s">
        <v>2944</v>
      </c>
      <c r="F3932" s="4" t="s">
        <v>2945</v>
      </c>
    </row>
    <row r="3933" spans="1:6" x14ac:dyDescent="0.25">
      <c r="A3933" s="4" t="str">
        <f>CONCATENATE("3071-0000-3655","")</f>
        <v>3071-0000-3655</v>
      </c>
      <c r="B3933" s="4" t="s">
        <v>1647</v>
      </c>
      <c r="C3933" s="5">
        <v>41489</v>
      </c>
      <c r="D3933" s="5">
        <v>41549</v>
      </c>
      <c r="E3933" s="4" t="s">
        <v>1410</v>
      </c>
      <c r="F3933" s="4" t="s">
        <v>1411</v>
      </c>
    </row>
    <row r="3934" spans="1:6" x14ac:dyDescent="0.25">
      <c r="A3934" s="4" t="str">
        <f>CONCATENATE("3071-0000-3640","")</f>
        <v>3071-0000-3640</v>
      </c>
      <c r="B3934" s="4" t="s">
        <v>1648</v>
      </c>
      <c r="C3934" s="5">
        <v>41489</v>
      </c>
      <c r="D3934" s="5">
        <v>41549</v>
      </c>
      <c r="E3934" s="4" t="s">
        <v>1410</v>
      </c>
      <c r="F3934" s="4" t="s">
        <v>1601</v>
      </c>
    </row>
    <row r="3935" spans="1:6" x14ac:dyDescent="0.25">
      <c r="A3935" s="4" t="str">
        <f>CONCATENATE("3071-0000-6214","")</f>
        <v>3071-0000-6214</v>
      </c>
      <c r="B3935" s="4" t="s">
        <v>7613</v>
      </c>
      <c r="C3935" s="5">
        <v>41489</v>
      </c>
      <c r="D3935" s="5">
        <v>41549</v>
      </c>
      <c r="E3935" s="4" t="s">
        <v>1410</v>
      </c>
      <c r="F3935" s="4" t="s">
        <v>1410</v>
      </c>
    </row>
    <row r="3936" spans="1:6" x14ac:dyDescent="0.25">
      <c r="A3936" s="4" t="str">
        <f>CONCATENATE("3071-0000-9225","")</f>
        <v>3071-0000-9225</v>
      </c>
      <c r="B3936" s="4" t="s">
        <v>8306</v>
      </c>
      <c r="C3936" s="5">
        <v>41489</v>
      </c>
      <c r="D3936" s="5">
        <v>41549</v>
      </c>
      <c r="E3936" s="4" t="s">
        <v>5185</v>
      </c>
      <c r="F3936" s="4" t="s">
        <v>5185</v>
      </c>
    </row>
    <row r="3937" spans="1:6" x14ac:dyDescent="0.25">
      <c r="A3937" s="4" t="str">
        <f>CONCATENATE("3071-0000-2933","")</f>
        <v>3071-0000-2933</v>
      </c>
      <c r="B3937" s="4" t="s">
        <v>1305</v>
      </c>
      <c r="C3937" s="5">
        <v>41489</v>
      </c>
      <c r="D3937" s="5">
        <v>41549</v>
      </c>
      <c r="E3937" s="4" t="s">
        <v>7</v>
      </c>
      <c r="F3937" s="4" t="s">
        <v>808</v>
      </c>
    </row>
    <row r="3938" spans="1:6" x14ac:dyDescent="0.25">
      <c r="A3938" s="4" t="str">
        <f>CONCATENATE("3071-0000-2936","")</f>
        <v>3071-0000-2936</v>
      </c>
      <c r="B3938" s="4" t="s">
        <v>1306</v>
      </c>
      <c r="C3938" s="5">
        <v>41489</v>
      </c>
      <c r="D3938" s="5">
        <v>41549</v>
      </c>
      <c r="E3938" s="4" t="s">
        <v>7</v>
      </c>
      <c r="F3938" s="4" t="s">
        <v>808</v>
      </c>
    </row>
    <row r="3939" spans="1:6" x14ac:dyDescent="0.25">
      <c r="A3939" s="4" t="str">
        <f>CONCATENATE("3071-0000-9430","")</f>
        <v>3071-0000-9430</v>
      </c>
      <c r="B3939" s="4" t="s">
        <v>8428</v>
      </c>
      <c r="C3939" s="5">
        <v>41489</v>
      </c>
      <c r="D3939" s="5">
        <v>41549</v>
      </c>
      <c r="E3939" s="4" t="s">
        <v>1410</v>
      </c>
      <c r="F3939" s="4" t="s">
        <v>7967</v>
      </c>
    </row>
    <row r="3940" spans="1:6" x14ac:dyDescent="0.25">
      <c r="A3940" s="4" t="str">
        <f>CONCATENATE("3071-0000-2939","")</f>
        <v>3071-0000-2939</v>
      </c>
      <c r="B3940" s="4" t="s">
        <v>1315</v>
      </c>
      <c r="C3940" s="5">
        <v>41489</v>
      </c>
      <c r="D3940" s="5">
        <v>41549</v>
      </c>
      <c r="E3940" s="4" t="s">
        <v>7</v>
      </c>
      <c r="F3940" s="4" t="s">
        <v>808</v>
      </c>
    </row>
    <row r="3941" spans="1:6" x14ac:dyDescent="0.25">
      <c r="A3941" s="4" t="str">
        <f>CONCATENATE("3071-0000-8506","")</f>
        <v>3071-0000-8506</v>
      </c>
      <c r="B3941" s="4" t="s">
        <v>6340</v>
      </c>
      <c r="C3941" s="5">
        <v>41489</v>
      </c>
      <c r="D3941" s="5">
        <v>41549</v>
      </c>
      <c r="E3941" s="4" t="s">
        <v>5185</v>
      </c>
      <c r="F3941" s="4" t="s">
        <v>5945</v>
      </c>
    </row>
    <row r="3942" spans="1:6" x14ac:dyDescent="0.25">
      <c r="A3942" s="4" t="str">
        <f>CONCATENATE("3071-0000-8902","")</f>
        <v>3071-0000-8902</v>
      </c>
      <c r="B3942" s="4" t="s">
        <v>6297</v>
      </c>
      <c r="C3942" s="5">
        <v>41489</v>
      </c>
      <c r="D3942" s="5">
        <v>41549</v>
      </c>
      <c r="E3942" s="4" t="s">
        <v>5185</v>
      </c>
      <c r="F3942" s="4" t="s">
        <v>6181</v>
      </c>
    </row>
    <row r="3943" spans="1:6" x14ac:dyDescent="0.25">
      <c r="A3943" s="4" t="str">
        <f>CONCATENATE("3071-0000-2946","")</f>
        <v>3071-0000-2946</v>
      </c>
      <c r="B3943" s="4" t="s">
        <v>1334</v>
      </c>
      <c r="C3943" s="5">
        <v>41489</v>
      </c>
      <c r="D3943" s="5">
        <v>41549</v>
      </c>
      <c r="E3943" s="4" t="s">
        <v>7</v>
      </c>
      <c r="F3943" s="4" t="s">
        <v>808</v>
      </c>
    </row>
    <row r="3944" spans="1:6" x14ac:dyDescent="0.25">
      <c r="A3944" s="4" t="str">
        <f>CONCATENATE("3071-0000-7888","")</f>
        <v>3071-0000-7888</v>
      </c>
      <c r="B3944" s="4" t="s">
        <v>5546</v>
      </c>
      <c r="C3944" s="5">
        <v>41489</v>
      </c>
      <c r="D3944" s="5">
        <v>41549</v>
      </c>
      <c r="E3944" s="4" t="s">
        <v>5185</v>
      </c>
      <c r="F3944" s="4" t="s">
        <v>5185</v>
      </c>
    </row>
    <row r="3945" spans="1:6" x14ac:dyDescent="0.25">
      <c r="A3945" s="4" t="str">
        <f>CONCATENATE("3071-0000-9045","")</f>
        <v>3071-0000-9045</v>
      </c>
      <c r="B3945" s="4" t="s">
        <v>6276</v>
      </c>
      <c r="C3945" s="5">
        <v>41489</v>
      </c>
      <c r="D3945" s="5">
        <v>41549</v>
      </c>
      <c r="E3945" s="4" t="s">
        <v>5185</v>
      </c>
      <c r="F3945" s="4" t="s">
        <v>6181</v>
      </c>
    </row>
    <row r="3946" spans="1:6" x14ac:dyDescent="0.25">
      <c r="A3946" s="4" t="str">
        <f>CONCATENATE("3071-0000-8935","")</f>
        <v>3071-0000-8935</v>
      </c>
      <c r="B3946" s="4" t="s">
        <v>5331</v>
      </c>
      <c r="C3946" s="5">
        <v>41489</v>
      </c>
      <c r="D3946" s="5">
        <v>41549</v>
      </c>
      <c r="E3946" s="4" t="s">
        <v>1410</v>
      </c>
      <c r="F3946" s="4" t="s">
        <v>4616</v>
      </c>
    </row>
    <row r="3947" spans="1:6" x14ac:dyDescent="0.25">
      <c r="A3947" s="4" t="str">
        <f>CONCATENATE("3071-0000-6521","")</f>
        <v>3071-0000-6521</v>
      </c>
      <c r="B3947" s="4" t="s">
        <v>7945</v>
      </c>
      <c r="C3947" s="5">
        <v>41489</v>
      </c>
      <c r="D3947" s="5">
        <v>41549</v>
      </c>
      <c r="E3947" s="4" t="s">
        <v>5185</v>
      </c>
      <c r="F3947" s="4" t="s">
        <v>5185</v>
      </c>
    </row>
    <row r="3948" spans="1:6" x14ac:dyDescent="0.25">
      <c r="A3948" s="4" t="str">
        <f>CONCATENATE("3071-0000-2976","")</f>
        <v>3071-0000-2976</v>
      </c>
      <c r="B3948" s="4" t="s">
        <v>1012</v>
      </c>
      <c r="C3948" s="5">
        <v>41489</v>
      </c>
      <c r="D3948" s="5">
        <v>41549</v>
      </c>
      <c r="E3948" s="4" t="s">
        <v>7</v>
      </c>
      <c r="F3948" s="4" t="s">
        <v>808</v>
      </c>
    </row>
    <row r="3949" spans="1:6" x14ac:dyDescent="0.25">
      <c r="A3949" s="4" t="str">
        <f>CONCATENATE("3071-0000-6064","")</f>
        <v>3071-0000-6064</v>
      </c>
      <c r="B3949" s="4" t="s">
        <v>7619</v>
      </c>
      <c r="C3949" s="5">
        <v>41489</v>
      </c>
      <c r="D3949" s="5">
        <v>41549</v>
      </c>
      <c r="E3949" s="4" t="s">
        <v>1410</v>
      </c>
      <c r="F3949" s="4" t="s">
        <v>1410</v>
      </c>
    </row>
    <row r="3950" spans="1:6" x14ac:dyDescent="0.25">
      <c r="A3950" s="4" t="str">
        <f>CONCATENATE("3071-0000-8964","")</f>
        <v>3071-0000-8964</v>
      </c>
      <c r="B3950" s="4" t="s">
        <v>6263</v>
      </c>
      <c r="C3950" s="5">
        <v>41489</v>
      </c>
      <c r="D3950" s="5">
        <v>41549</v>
      </c>
      <c r="E3950" s="4" t="s">
        <v>5185</v>
      </c>
      <c r="F3950" s="4" t="s">
        <v>6181</v>
      </c>
    </row>
    <row r="3951" spans="1:6" x14ac:dyDescent="0.25">
      <c r="A3951" s="4" t="str">
        <f>CONCATENATE("3071-0000-9093","")</f>
        <v>3071-0000-9093</v>
      </c>
      <c r="B3951" s="4" t="s">
        <v>5301</v>
      </c>
      <c r="C3951" s="5">
        <v>41489</v>
      </c>
      <c r="D3951" s="5">
        <v>41549</v>
      </c>
      <c r="E3951" s="4" t="s">
        <v>5185</v>
      </c>
      <c r="F3951" s="4" t="s">
        <v>5185</v>
      </c>
    </row>
    <row r="3952" spans="1:6" x14ac:dyDescent="0.25">
      <c r="A3952" s="4" t="str">
        <f>CONCATENATE("3071-0000-8050","")</f>
        <v>3071-0000-8050</v>
      </c>
      <c r="B3952" s="4" t="s">
        <v>5608</v>
      </c>
      <c r="C3952" s="5">
        <v>41489</v>
      </c>
      <c r="D3952" s="5">
        <v>41549</v>
      </c>
      <c r="E3952" s="4" t="s">
        <v>5185</v>
      </c>
      <c r="F3952" s="4" t="s">
        <v>5185</v>
      </c>
    </row>
    <row r="3953" spans="1:6" x14ac:dyDescent="0.25">
      <c r="A3953" s="4" t="str">
        <f>CONCATENATE("3071-0000-9190","")</f>
        <v>3071-0000-9190</v>
      </c>
      <c r="B3953" s="4" t="s">
        <v>6170</v>
      </c>
      <c r="C3953" s="5">
        <v>41489</v>
      </c>
      <c r="D3953" s="5">
        <v>41549</v>
      </c>
      <c r="E3953" s="4" t="s">
        <v>5185</v>
      </c>
      <c r="F3953" s="4" t="s">
        <v>5945</v>
      </c>
    </row>
    <row r="3954" spans="1:6" x14ac:dyDescent="0.25">
      <c r="A3954" s="4" t="str">
        <f>CONCATENATE("3071-0000-8122","")</f>
        <v>3071-0000-8122</v>
      </c>
      <c r="B3954" s="4" t="s">
        <v>5994</v>
      </c>
      <c r="C3954" s="5">
        <v>41489</v>
      </c>
      <c r="D3954" s="5">
        <v>41549</v>
      </c>
      <c r="E3954" s="4" t="s">
        <v>5185</v>
      </c>
      <c r="F3954" s="4" t="s">
        <v>5185</v>
      </c>
    </row>
    <row r="3955" spans="1:6" x14ac:dyDescent="0.25">
      <c r="A3955" s="4" t="str">
        <f>CONCATENATE("3071-0000-5383","")</f>
        <v>3071-0000-5383</v>
      </c>
      <c r="B3955" s="4" t="s">
        <v>6827</v>
      </c>
      <c r="C3955" s="5">
        <v>41489</v>
      </c>
      <c r="D3955" s="5">
        <v>41549</v>
      </c>
      <c r="E3955" s="4" t="s">
        <v>5185</v>
      </c>
      <c r="F3955" s="4" t="s">
        <v>5185</v>
      </c>
    </row>
    <row r="3956" spans="1:6" x14ac:dyDescent="0.25">
      <c r="A3956" s="4" t="str">
        <f>CONCATENATE("3071-0000-4080","")</f>
        <v>3071-0000-4080</v>
      </c>
      <c r="B3956" s="4" t="s">
        <v>4040</v>
      </c>
      <c r="C3956" s="5">
        <v>41489</v>
      </c>
      <c r="D3956" s="5">
        <v>41549</v>
      </c>
      <c r="E3956" s="4" t="s">
        <v>1381</v>
      </c>
      <c r="F3956" s="4" t="s">
        <v>3994</v>
      </c>
    </row>
    <row r="3957" spans="1:6" x14ac:dyDescent="0.25">
      <c r="A3957" s="4" t="str">
        <f>CONCATENATE("3071-0000-9354","")</f>
        <v>3071-0000-9354</v>
      </c>
      <c r="B3957" s="4" t="s">
        <v>8461</v>
      </c>
      <c r="C3957" s="5">
        <v>41489</v>
      </c>
      <c r="D3957" s="5">
        <v>41549</v>
      </c>
      <c r="E3957" s="4" t="s">
        <v>1410</v>
      </c>
      <c r="F3957" s="4" t="s">
        <v>4459</v>
      </c>
    </row>
    <row r="3958" spans="1:6" x14ac:dyDescent="0.25">
      <c r="A3958" s="4" t="str">
        <f>CONCATENATE("3071-0000-9510","")</f>
        <v>3071-0000-9510</v>
      </c>
      <c r="B3958" s="4" t="s">
        <v>8396</v>
      </c>
      <c r="C3958" s="5">
        <v>41489</v>
      </c>
      <c r="D3958" s="5">
        <v>41549</v>
      </c>
      <c r="E3958" s="4" t="s">
        <v>1410</v>
      </c>
      <c r="F3958" s="4" t="s">
        <v>4459</v>
      </c>
    </row>
    <row r="3959" spans="1:6" x14ac:dyDescent="0.25">
      <c r="A3959" s="4" t="str">
        <f>CONCATENATE("3071-0000-9559","")</f>
        <v>3071-0000-9559</v>
      </c>
      <c r="B3959" s="4" t="s">
        <v>8404</v>
      </c>
      <c r="C3959" s="5">
        <v>41489</v>
      </c>
      <c r="D3959" s="5">
        <v>41549</v>
      </c>
      <c r="E3959" s="4" t="s">
        <v>1410</v>
      </c>
      <c r="F3959" s="4" t="s">
        <v>4459</v>
      </c>
    </row>
    <row r="3960" spans="1:6" x14ac:dyDescent="0.25">
      <c r="A3960" s="4" t="str">
        <f>CONCATENATE("3071-0000-7407","")</f>
        <v>3071-0000-7407</v>
      </c>
      <c r="B3960" s="4" t="s">
        <v>4670</v>
      </c>
      <c r="C3960" s="5">
        <v>41489</v>
      </c>
      <c r="D3960" s="5">
        <v>41549</v>
      </c>
      <c r="E3960" s="4" t="s">
        <v>1410</v>
      </c>
      <c r="F3960" s="4" t="s">
        <v>1410</v>
      </c>
    </row>
    <row r="3961" spans="1:6" x14ac:dyDescent="0.25">
      <c r="A3961" s="4" t="str">
        <f>CONCATENATE("3071-0000-9193","")</f>
        <v>3071-0000-9193</v>
      </c>
      <c r="B3961" s="4" t="s">
        <v>6172</v>
      </c>
      <c r="C3961" s="5">
        <v>41489</v>
      </c>
      <c r="D3961" s="5">
        <v>41549</v>
      </c>
      <c r="E3961" s="4" t="s">
        <v>5185</v>
      </c>
      <c r="F3961" s="4" t="s">
        <v>5945</v>
      </c>
    </row>
    <row r="3962" spans="1:6" x14ac:dyDescent="0.25">
      <c r="A3962" s="4" t="str">
        <f>CONCATENATE("3071-0000-6798","")</f>
        <v>3071-0000-6798</v>
      </c>
      <c r="B3962" s="4" t="s">
        <v>8250</v>
      </c>
      <c r="C3962" s="5">
        <v>41489</v>
      </c>
      <c r="D3962" s="5">
        <v>41549</v>
      </c>
      <c r="E3962" s="4" t="s">
        <v>1410</v>
      </c>
      <c r="F3962" s="4" t="s">
        <v>8192</v>
      </c>
    </row>
    <row r="3963" spans="1:6" x14ac:dyDescent="0.25">
      <c r="A3963" s="4" t="str">
        <f>CONCATENATE("3071-0000-9379","")</f>
        <v>3071-0000-9379</v>
      </c>
      <c r="B3963" s="4" t="s">
        <v>8475</v>
      </c>
      <c r="C3963" s="5">
        <v>41489</v>
      </c>
      <c r="D3963" s="5">
        <v>41549</v>
      </c>
      <c r="E3963" s="4" t="s">
        <v>1410</v>
      </c>
      <c r="F3963" s="4" t="s">
        <v>1410</v>
      </c>
    </row>
    <row r="3964" spans="1:6" x14ac:dyDescent="0.25">
      <c r="A3964" s="4" t="str">
        <f>CONCATENATE("3071-0000-4596","")</f>
        <v>3071-0000-4596</v>
      </c>
      <c r="B3964" s="4" t="s">
        <v>9117</v>
      </c>
      <c r="C3964" s="5">
        <v>41489</v>
      </c>
      <c r="D3964" s="5">
        <v>41549</v>
      </c>
      <c r="E3964" s="4" t="s">
        <v>1410</v>
      </c>
      <c r="F3964" s="4" t="s">
        <v>8696</v>
      </c>
    </row>
    <row r="3965" spans="1:6" x14ac:dyDescent="0.25">
      <c r="A3965" s="4" t="str">
        <f>CONCATENATE("3071-0000-7189","")</f>
        <v>3071-0000-7189</v>
      </c>
      <c r="B3965" s="4" t="s">
        <v>4946</v>
      </c>
      <c r="C3965" s="5">
        <v>41489</v>
      </c>
      <c r="D3965" s="5">
        <v>41549</v>
      </c>
      <c r="E3965" s="4" t="s">
        <v>1410</v>
      </c>
      <c r="F3965" s="4" t="s">
        <v>1410</v>
      </c>
    </row>
    <row r="3966" spans="1:6" x14ac:dyDescent="0.25">
      <c r="A3966" s="4" t="str">
        <f>CONCATENATE("3071-0000-9320","")</f>
        <v>3071-0000-9320</v>
      </c>
      <c r="B3966" s="4" t="s">
        <v>8375</v>
      </c>
      <c r="C3966" s="5">
        <v>41489</v>
      </c>
      <c r="D3966" s="5">
        <v>41549</v>
      </c>
      <c r="E3966" s="4" t="s">
        <v>5185</v>
      </c>
      <c r="F3966" s="4" t="s">
        <v>5185</v>
      </c>
    </row>
    <row r="3967" spans="1:6" x14ac:dyDescent="0.25">
      <c r="A3967" s="4" t="str">
        <f>CONCATENATE("3071-0000-3134","")</f>
        <v>3071-0000-3134</v>
      </c>
      <c r="B3967" s="4" t="s">
        <v>1254</v>
      </c>
      <c r="C3967" s="5">
        <v>41489</v>
      </c>
      <c r="D3967" s="5">
        <v>41549</v>
      </c>
      <c r="E3967" s="4" t="s">
        <v>7</v>
      </c>
      <c r="F3967" s="4" t="s">
        <v>808</v>
      </c>
    </row>
    <row r="3968" spans="1:6" x14ac:dyDescent="0.25">
      <c r="A3968" s="4" t="str">
        <f>CONCATENATE("3071-0000-3029","")</f>
        <v>3071-0000-3029</v>
      </c>
      <c r="B3968" s="4" t="s">
        <v>1060</v>
      </c>
      <c r="C3968" s="5">
        <v>41489</v>
      </c>
      <c r="D3968" s="5">
        <v>41549</v>
      </c>
      <c r="E3968" s="4" t="s">
        <v>7</v>
      </c>
      <c r="F3968" s="4" t="s">
        <v>808</v>
      </c>
    </row>
    <row r="3969" spans="1:6" x14ac:dyDescent="0.25">
      <c r="A3969" s="4" t="str">
        <f>CONCATENATE("3071-0000-6822","")</f>
        <v>3071-0000-6822</v>
      </c>
      <c r="B3969" s="4" t="s">
        <v>7917</v>
      </c>
      <c r="C3969" s="5">
        <v>41489</v>
      </c>
      <c r="D3969" s="5">
        <v>41549</v>
      </c>
      <c r="E3969" s="4" t="s">
        <v>1410</v>
      </c>
      <c r="F3969" s="4" t="s">
        <v>4655</v>
      </c>
    </row>
    <row r="3970" spans="1:6" x14ac:dyDescent="0.25">
      <c r="A3970" s="4" t="str">
        <f>CONCATENATE("3071-0000-0373","")</f>
        <v>3071-0000-0373</v>
      </c>
      <c r="B3970" s="4" t="s">
        <v>587</v>
      </c>
      <c r="C3970" s="5">
        <v>41489</v>
      </c>
      <c r="D3970" s="5">
        <v>41549</v>
      </c>
      <c r="E3970" s="4" t="s">
        <v>7</v>
      </c>
      <c r="F3970" s="4" t="s">
        <v>7</v>
      </c>
    </row>
    <row r="3971" spans="1:6" x14ac:dyDescent="0.25">
      <c r="A3971" s="4" t="str">
        <f>CONCATENATE("3071-0000-8322","")</f>
        <v>3071-0000-8322</v>
      </c>
      <c r="B3971" s="4" t="s">
        <v>5361</v>
      </c>
      <c r="C3971" s="5">
        <v>41489</v>
      </c>
      <c r="D3971" s="5">
        <v>41549</v>
      </c>
      <c r="E3971" s="4" t="s">
        <v>5185</v>
      </c>
      <c r="F3971" s="4" t="s">
        <v>5185</v>
      </c>
    </row>
    <row r="3972" spans="1:6" x14ac:dyDescent="0.25">
      <c r="A3972" s="4" t="str">
        <f>CONCATENATE("3071-0000-7531","")</f>
        <v>3071-0000-7531</v>
      </c>
      <c r="B3972" s="4" t="s">
        <v>4305</v>
      </c>
      <c r="C3972" s="5">
        <v>41489</v>
      </c>
      <c r="D3972" s="5">
        <v>41549</v>
      </c>
      <c r="E3972" s="4" t="s">
        <v>1410</v>
      </c>
      <c r="F3972" s="4" t="s">
        <v>1410</v>
      </c>
    </row>
    <row r="3973" spans="1:6" x14ac:dyDescent="0.25">
      <c r="A3973" s="4" t="str">
        <f>CONCATENATE("3071-0000-8778","")</f>
        <v>3071-0000-8778</v>
      </c>
      <c r="B3973" s="4" t="s">
        <v>6581</v>
      </c>
      <c r="C3973" s="5">
        <v>41489</v>
      </c>
      <c r="D3973" s="5">
        <v>41549</v>
      </c>
      <c r="E3973" s="4" t="s">
        <v>5185</v>
      </c>
      <c r="F3973" s="4" t="s">
        <v>5292</v>
      </c>
    </row>
    <row r="3974" spans="1:6" x14ac:dyDescent="0.25">
      <c r="A3974" s="4" t="str">
        <f>CONCATENATE("3071-0000-9178","")</f>
        <v>3071-0000-9178</v>
      </c>
      <c r="B3974" s="4" t="s">
        <v>6179</v>
      </c>
      <c r="C3974" s="5">
        <v>41489</v>
      </c>
      <c r="D3974" s="5">
        <v>41549</v>
      </c>
      <c r="E3974" s="4" t="s">
        <v>5185</v>
      </c>
      <c r="F3974" s="4" t="s">
        <v>5945</v>
      </c>
    </row>
    <row r="3975" spans="1:6" x14ac:dyDescent="0.25">
      <c r="A3975" s="4" t="str">
        <f>CONCATENATE("3071-0000-9372","")</f>
        <v>3071-0000-9372</v>
      </c>
      <c r="B3975" s="4" t="s">
        <v>8383</v>
      </c>
      <c r="C3975" s="5">
        <v>41489</v>
      </c>
      <c r="D3975" s="5">
        <v>41549</v>
      </c>
      <c r="E3975" s="4" t="s">
        <v>1410</v>
      </c>
      <c r="F3975" s="4" t="s">
        <v>4459</v>
      </c>
    </row>
    <row r="3976" spans="1:6" x14ac:dyDescent="0.25">
      <c r="A3976" s="4" t="str">
        <f>CONCATENATE("3071-0000-6580","")</f>
        <v>3071-0000-6580</v>
      </c>
      <c r="B3976" s="4" t="s">
        <v>8211</v>
      </c>
      <c r="C3976" s="5">
        <v>41489</v>
      </c>
      <c r="D3976" s="5">
        <v>41549</v>
      </c>
      <c r="E3976" s="4" t="s">
        <v>5185</v>
      </c>
      <c r="F3976" s="4" t="s">
        <v>5185</v>
      </c>
    </row>
    <row r="3977" spans="1:6" x14ac:dyDescent="0.25">
      <c r="A3977" s="4" t="str">
        <f>CONCATENATE("3071-0000-9349","")</f>
        <v>3071-0000-9349</v>
      </c>
      <c r="B3977" s="4" t="s">
        <v>8460</v>
      </c>
      <c r="C3977" s="5">
        <v>41489</v>
      </c>
      <c r="D3977" s="5">
        <v>41549</v>
      </c>
      <c r="E3977" s="4" t="s">
        <v>1410</v>
      </c>
      <c r="F3977" s="4" t="s">
        <v>4459</v>
      </c>
    </row>
    <row r="3978" spans="1:6" x14ac:dyDescent="0.25">
      <c r="A3978" s="4" t="str">
        <f>CONCATENATE("3071-0000-6559","")</f>
        <v>3071-0000-6559</v>
      </c>
      <c r="B3978" s="4" t="s">
        <v>7808</v>
      </c>
      <c r="C3978" s="5">
        <v>41489</v>
      </c>
      <c r="D3978" s="5">
        <v>41549</v>
      </c>
      <c r="E3978" s="4" t="s">
        <v>5185</v>
      </c>
      <c r="F3978" s="4" t="s">
        <v>5185</v>
      </c>
    </row>
    <row r="3979" spans="1:6" x14ac:dyDescent="0.25">
      <c r="A3979" s="4" t="str">
        <f>CONCATENATE("3071-0000-3307","")</f>
        <v>3071-0000-3307</v>
      </c>
      <c r="B3979" s="4" t="s">
        <v>972</v>
      </c>
      <c r="C3979" s="5">
        <v>41489</v>
      </c>
      <c r="D3979" s="5">
        <v>41549</v>
      </c>
      <c r="E3979" s="4" t="s">
        <v>7</v>
      </c>
      <c r="F3979" s="4" t="s">
        <v>808</v>
      </c>
    </row>
    <row r="3980" spans="1:6" x14ac:dyDescent="0.25">
      <c r="A3980" s="4" t="str">
        <f>CONCATENATE("3071-0000-9492","")</f>
        <v>3071-0000-9492</v>
      </c>
      <c r="B3980" s="4" t="s">
        <v>8590</v>
      </c>
      <c r="C3980" s="5">
        <v>41489</v>
      </c>
      <c r="D3980" s="5">
        <v>41549</v>
      </c>
      <c r="E3980" s="4" t="s">
        <v>1410</v>
      </c>
      <c r="F3980" s="4" t="s">
        <v>4459</v>
      </c>
    </row>
    <row r="3981" spans="1:6" x14ac:dyDescent="0.25">
      <c r="A3981" s="4" t="str">
        <f>CONCATENATE("3071-0000-0361","")</f>
        <v>3071-0000-0361</v>
      </c>
      <c r="B3981" s="4" t="s">
        <v>618</v>
      </c>
      <c r="C3981" s="5">
        <v>41489</v>
      </c>
      <c r="D3981" s="5">
        <v>41549</v>
      </c>
      <c r="E3981" s="4" t="s">
        <v>7</v>
      </c>
      <c r="F3981" s="4" t="s">
        <v>7</v>
      </c>
    </row>
    <row r="3982" spans="1:6" x14ac:dyDescent="0.25">
      <c r="A3982" s="4" t="str">
        <f>CONCATENATE("3071-0000-9561","")</f>
        <v>3071-0000-9561</v>
      </c>
      <c r="B3982" s="4" t="s">
        <v>8401</v>
      </c>
      <c r="C3982" s="5">
        <v>41489</v>
      </c>
      <c r="D3982" s="5">
        <v>41549</v>
      </c>
      <c r="E3982" s="4" t="s">
        <v>1410</v>
      </c>
      <c r="F3982" s="4" t="s">
        <v>4459</v>
      </c>
    </row>
    <row r="3983" spans="1:6" x14ac:dyDescent="0.25">
      <c r="A3983" s="4" t="str">
        <f>CONCATENATE("3071-0000-9239","")</f>
        <v>3071-0000-9239</v>
      </c>
      <c r="B3983" s="4" t="s">
        <v>8324</v>
      </c>
      <c r="C3983" s="5">
        <v>41489</v>
      </c>
      <c r="D3983" s="5">
        <v>41549</v>
      </c>
      <c r="E3983" s="4" t="s">
        <v>5185</v>
      </c>
      <c r="F3983" s="4" t="s">
        <v>5185</v>
      </c>
    </row>
    <row r="3984" spans="1:6" x14ac:dyDescent="0.25">
      <c r="A3984" s="4" t="str">
        <f>CONCATENATE("3071-0000-8968","")</f>
        <v>3071-0000-8968</v>
      </c>
      <c r="B3984" s="4" t="s">
        <v>6268</v>
      </c>
      <c r="C3984" s="5">
        <v>41489</v>
      </c>
      <c r="D3984" s="5">
        <v>41549</v>
      </c>
      <c r="E3984" s="4" t="s">
        <v>5185</v>
      </c>
      <c r="F3984" s="4" t="s">
        <v>6181</v>
      </c>
    </row>
    <row r="3985" spans="1:6" x14ac:dyDescent="0.25">
      <c r="A3985" s="4" t="str">
        <f>CONCATENATE("3071-0000-7267","")</f>
        <v>3071-0000-7267</v>
      </c>
      <c r="B3985" s="4" t="s">
        <v>5063</v>
      </c>
      <c r="C3985" s="5">
        <v>41489</v>
      </c>
      <c r="D3985" s="5">
        <v>41549</v>
      </c>
      <c r="E3985" s="4" t="s">
        <v>1410</v>
      </c>
      <c r="F3985" s="4" t="s">
        <v>1410</v>
      </c>
    </row>
    <row r="3986" spans="1:6" x14ac:dyDescent="0.25">
      <c r="A3986" s="4" t="str">
        <f>CONCATENATE("3071-0000-3699","")</f>
        <v>3071-0000-3699</v>
      </c>
      <c r="B3986" s="4" t="s">
        <v>1805</v>
      </c>
      <c r="C3986" s="5">
        <v>41489</v>
      </c>
      <c r="D3986" s="5">
        <v>41549</v>
      </c>
      <c r="E3986" s="4" t="s">
        <v>1410</v>
      </c>
      <c r="F3986" s="4" t="s">
        <v>1411</v>
      </c>
    </row>
    <row r="3987" spans="1:6" x14ac:dyDescent="0.25">
      <c r="A3987" s="4" t="str">
        <f>CONCATENATE("3071-0000-8927","")</f>
        <v>3071-0000-8927</v>
      </c>
      <c r="B3987" s="4" t="s">
        <v>5326</v>
      </c>
      <c r="C3987" s="5">
        <v>41489</v>
      </c>
      <c r="D3987" s="5">
        <v>41549</v>
      </c>
      <c r="E3987" s="4" t="s">
        <v>1410</v>
      </c>
      <c r="F3987" s="4" t="s">
        <v>4616</v>
      </c>
    </row>
    <row r="3988" spans="1:6" x14ac:dyDescent="0.25">
      <c r="A3988" s="4" t="str">
        <f>CONCATENATE("3071-0000-7784","")</f>
        <v>3071-0000-7784</v>
      </c>
      <c r="B3988" s="4" t="s">
        <v>5536</v>
      </c>
      <c r="C3988" s="5">
        <v>41489</v>
      </c>
      <c r="D3988" s="5">
        <v>41549</v>
      </c>
      <c r="E3988" s="4" t="s">
        <v>5185</v>
      </c>
      <c r="F3988" s="4" t="s">
        <v>5250</v>
      </c>
    </row>
    <row r="3989" spans="1:6" x14ac:dyDescent="0.25">
      <c r="A3989" s="4" t="str">
        <f>CONCATENATE("3071-0000-7023","")</f>
        <v>3071-0000-7023</v>
      </c>
      <c r="B3989" s="4" t="s">
        <v>4858</v>
      </c>
      <c r="C3989" s="5">
        <v>41489</v>
      </c>
      <c r="D3989" s="5">
        <v>41549</v>
      </c>
      <c r="E3989" s="4" t="s">
        <v>1410</v>
      </c>
      <c r="F3989" s="4" t="s">
        <v>1410</v>
      </c>
    </row>
    <row r="3990" spans="1:6" x14ac:dyDescent="0.25">
      <c r="A3990" s="4" t="str">
        <f>CONCATENATE("3071-0000-2787","")</f>
        <v>3071-0000-2787</v>
      </c>
      <c r="B3990" s="4" t="s">
        <v>968</v>
      </c>
      <c r="C3990" s="5">
        <v>41489</v>
      </c>
      <c r="D3990" s="5">
        <v>41549</v>
      </c>
      <c r="E3990" s="4" t="s">
        <v>7</v>
      </c>
      <c r="F3990" s="4" t="s">
        <v>808</v>
      </c>
    </row>
    <row r="3991" spans="1:6" x14ac:dyDescent="0.25">
      <c r="A3991" s="4" t="str">
        <f>CONCATENATE("3071-0000-8548","")</f>
        <v>3071-0000-8548</v>
      </c>
      <c r="B3991" s="4" t="s">
        <v>6123</v>
      </c>
      <c r="C3991" s="5">
        <v>41489</v>
      </c>
      <c r="D3991" s="5">
        <v>41549</v>
      </c>
      <c r="E3991" s="4" t="s">
        <v>5185</v>
      </c>
      <c r="F3991" s="4" t="s">
        <v>5945</v>
      </c>
    </row>
    <row r="3992" spans="1:6" x14ac:dyDescent="0.25">
      <c r="A3992" s="4" t="str">
        <f>CONCATENATE("3071-0000-3427","")</f>
        <v>3071-0000-3427</v>
      </c>
      <c r="B3992" s="4" t="s">
        <v>1693</v>
      </c>
      <c r="C3992" s="5">
        <v>41489</v>
      </c>
      <c r="D3992" s="5">
        <v>41549</v>
      </c>
      <c r="E3992" s="4" t="s">
        <v>1410</v>
      </c>
      <c r="F3992" s="4" t="s">
        <v>1411</v>
      </c>
    </row>
    <row r="3993" spans="1:6" x14ac:dyDescent="0.25">
      <c r="A3993" s="4" t="str">
        <f>CONCATENATE("3071-0000-2924","")</f>
        <v>3071-0000-2924</v>
      </c>
      <c r="B3993" s="4" t="s">
        <v>1344</v>
      </c>
      <c r="C3993" s="5">
        <v>41489</v>
      </c>
      <c r="D3993" s="5">
        <v>41549</v>
      </c>
      <c r="E3993" s="4" t="s">
        <v>7</v>
      </c>
      <c r="F3993" s="4" t="s">
        <v>808</v>
      </c>
    </row>
    <row r="3994" spans="1:6" x14ac:dyDescent="0.25">
      <c r="A3994" s="4" t="str">
        <f>CONCATENATE("3071-0000-6715","")</f>
        <v>3071-0000-6715</v>
      </c>
      <c r="B3994" s="4" t="s">
        <v>8177</v>
      </c>
      <c r="C3994" s="5">
        <v>41489</v>
      </c>
      <c r="D3994" s="5">
        <v>41549</v>
      </c>
      <c r="E3994" s="4" t="s">
        <v>5185</v>
      </c>
      <c r="F3994" s="4" t="s">
        <v>5185</v>
      </c>
    </row>
    <row r="3995" spans="1:6" x14ac:dyDescent="0.25">
      <c r="A3995" s="4" t="str">
        <f>CONCATENATE("3071-0000-8954","")</f>
        <v>3071-0000-8954</v>
      </c>
      <c r="B3995" s="4" t="s">
        <v>6279</v>
      </c>
      <c r="C3995" s="5">
        <v>41489</v>
      </c>
      <c r="D3995" s="5">
        <v>41549</v>
      </c>
      <c r="E3995" s="4" t="s">
        <v>5185</v>
      </c>
      <c r="F3995" s="4" t="s">
        <v>6181</v>
      </c>
    </row>
    <row r="3996" spans="1:6" x14ac:dyDescent="0.25">
      <c r="A3996" s="4" t="str">
        <f>CONCATENATE("3071-0000-9286","")</f>
        <v>3071-0000-9286</v>
      </c>
      <c r="B3996" s="4" t="s">
        <v>8320</v>
      </c>
      <c r="C3996" s="5">
        <v>41489</v>
      </c>
      <c r="D3996" s="5">
        <v>41549</v>
      </c>
      <c r="E3996" s="4" t="s">
        <v>5185</v>
      </c>
      <c r="F3996" s="4" t="s">
        <v>5185</v>
      </c>
    </row>
    <row r="3997" spans="1:6" x14ac:dyDescent="0.25">
      <c r="A3997" s="4" t="str">
        <f>CONCATENATE("3071-0000-2599","")</f>
        <v>3071-0000-2599</v>
      </c>
      <c r="B3997" s="4" t="s">
        <v>3242</v>
      </c>
      <c r="C3997" s="5">
        <v>41489</v>
      </c>
      <c r="D3997" s="5">
        <v>41549</v>
      </c>
      <c r="E3997" s="4" t="s">
        <v>2944</v>
      </c>
      <c r="F3997" s="4" t="s">
        <v>3164</v>
      </c>
    </row>
    <row r="3998" spans="1:6" x14ac:dyDescent="0.25">
      <c r="A3998" s="4" t="str">
        <f>CONCATENATE("3071-0000-4209","")</f>
        <v>3071-0000-4209</v>
      </c>
      <c r="B3998" s="4" t="s">
        <v>3815</v>
      </c>
      <c r="C3998" s="5">
        <v>41489</v>
      </c>
      <c r="D3998" s="5">
        <v>41549</v>
      </c>
      <c r="E3998" s="4" t="s">
        <v>7</v>
      </c>
      <c r="F3998" s="4" t="s">
        <v>3813</v>
      </c>
    </row>
    <row r="3999" spans="1:6" x14ac:dyDescent="0.25">
      <c r="A3999" s="4" t="str">
        <f>CONCATENATE("3071-0000-4230","")</f>
        <v>3071-0000-4230</v>
      </c>
      <c r="B3999" s="4" t="s">
        <v>8701</v>
      </c>
      <c r="C3999" s="5">
        <v>41489</v>
      </c>
      <c r="D3999" s="5">
        <v>41549</v>
      </c>
      <c r="E3999" s="4" t="s">
        <v>1410</v>
      </c>
      <c r="F3999" s="4" t="s">
        <v>8696</v>
      </c>
    </row>
    <row r="4000" spans="1:6" x14ac:dyDescent="0.25">
      <c r="A4000" s="4" t="str">
        <f>CONCATENATE("3071-0000-0326","")</f>
        <v>3071-0000-0326</v>
      </c>
      <c r="B4000" s="4" t="s">
        <v>126</v>
      </c>
      <c r="C4000" s="5">
        <v>41489</v>
      </c>
      <c r="D4000" s="5">
        <v>41549</v>
      </c>
      <c r="E4000" s="4" t="s">
        <v>7</v>
      </c>
      <c r="F4000" s="4" t="s">
        <v>7</v>
      </c>
    </row>
    <row r="4001" spans="1:6" x14ac:dyDescent="0.25">
      <c r="A4001" s="4" t="str">
        <f>CONCATENATE("3071-0000-6404","")</f>
        <v>3071-0000-6404</v>
      </c>
      <c r="B4001" s="4" t="s">
        <v>7824</v>
      </c>
      <c r="C4001" s="5">
        <v>41489</v>
      </c>
      <c r="D4001" s="5">
        <v>41549</v>
      </c>
      <c r="E4001" s="4" t="s">
        <v>5185</v>
      </c>
      <c r="F4001" s="4" t="s">
        <v>5185</v>
      </c>
    </row>
    <row r="4002" spans="1:6" x14ac:dyDescent="0.25">
      <c r="A4002" s="4" t="str">
        <f>CONCATENATE("3071-0000-3302","")</f>
        <v>3071-0000-3302</v>
      </c>
      <c r="B4002" s="4" t="s">
        <v>1173</v>
      </c>
      <c r="C4002" s="5">
        <v>41489</v>
      </c>
      <c r="D4002" s="5">
        <v>41549</v>
      </c>
      <c r="E4002" s="4" t="s">
        <v>7</v>
      </c>
      <c r="F4002" s="4" t="s">
        <v>808</v>
      </c>
    </row>
    <row r="4003" spans="1:6" x14ac:dyDescent="0.25">
      <c r="A4003" s="4" t="str">
        <f>CONCATENATE("3071-0000-9424","")</f>
        <v>3071-0000-9424</v>
      </c>
      <c r="B4003" s="4" t="s">
        <v>8413</v>
      </c>
      <c r="C4003" s="5">
        <v>41489</v>
      </c>
      <c r="D4003" s="5">
        <v>41549</v>
      </c>
      <c r="E4003" s="4" t="s">
        <v>1410</v>
      </c>
      <c r="F4003" s="4" t="s">
        <v>7967</v>
      </c>
    </row>
    <row r="4004" spans="1:6" x14ac:dyDescent="0.25">
      <c r="A4004" s="4" t="str">
        <f>CONCATENATE("3071-0000-8938","")</f>
        <v>3071-0000-8938</v>
      </c>
      <c r="B4004" s="4" t="s">
        <v>5344</v>
      </c>
      <c r="C4004" s="5">
        <v>41489</v>
      </c>
      <c r="D4004" s="5">
        <v>41549</v>
      </c>
      <c r="E4004" s="4" t="s">
        <v>1410</v>
      </c>
      <c r="F4004" s="4" t="s">
        <v>4616</v>
      </c>
    </row>
    <row r="4005" spans="1:6" x14ac:dyDescent="0.25">
      <c r="A4005" s="4" t="str">
        <f>CONCATENATE("3071-0000-9522","")</f>
        <v>3071-0000-9522</v>
      </c>
      <c r="B4005" s="4" t="s">
        <v>8581</v>
      </c>
      <c r="C4005" s="5">
        <v>41489</v>
      </c>
      <c r="D4005" s="5">
        <v>41549</v>
      </c>
      <c r="E4005" s="4" t="s">
        <v>1410</v>
      </c>
      <c r="F4005" s="4" t="s">
        <v>4459</v>
      </c>
    </row>
    <row r="4006" spans="1:6" x14ac:dyDescent="0.25">
      <c r="A4006" s="4" t="str">
        <f>CONCATENATE("3071-0000-5829","")</f>
        <v>3071-0000-5829</v>
      </c>
      <c r="B4006" s="4" t="s">
        <v>7397</v>
      </c>
      <c r="C4006" s="5">
        <v>41489</v>
      </c>
      <c r="D4006" s="5">
        <v>41549</v>
      </c>
      <c r="E4006" s="4" t="s">
        <v>5185</v>
      </c>
      <c r="F4006" s="4" t="s">
        <v>5185</v>
      </c>
    </row>
    <row r="4007" spans="1:6" x14ac:dyDescent="0.25">
      <c r="A4007" s="4" t="str">
        <f>CONCATENATE("3071-0000-8491","")</f>
        <v>3071-0000-8491</v>
      </c>
      <c r="B4007" s="4" t="s">
        <v>6033</v>
      </c>
      <c r="C4007" s="5">
        <v>41489</v>
      </c>
      <c r="D4007" s="5">
        <v>41549</v>
      </c>
      <c r="E4007" s="4" t="s">
        <v>5185</v>
      </c>
      <c r="F4007" s="4" t="s">
        <v>5945</v>
      </c>
    </row>
    <row r="4008" spans="1:6" x14ac:dyDescent="0.25">
      <c r="A4008" s="4" t="str">
        <f>CONCATENATE("3071-0000-8574","")</f>
        <v>3071-0000-8574</v>
      </c>
      <c r="B4008" s="4" t="s">
        <v>6032</v>
      </c>
      <c r="C4008" s="5">
        <v>41489</v>
      </c>
      <c r="D4008" s="5">
        <v>41549</v>
      </c>
      <c r="E4008" s="4" t="s">
        <v>5185</v>
      </c>
      <c r="F4008" s="4" t="s">
        <v>5945</v>
      </c>
    </row>
    <row r="4009" spans="1:6" x14ac:dyDescent="0.25">
      <c r="A4009" s="4" t="str">
        <f>CONCATENATE("3071-0000-0773","")</f>
        <v>3071-0000-0773</v>
      </c>
      <c r="B4009" s="4" t="s">
        <v>593</v>
      </c>
      <c r="C4009" s="5">
        <v>41489</v>
      </c>
      <c r="D4009" s="5">
        <v>41549</v>
      </c>
      <c r="E4009" s="4" t="s">
        <v>7</v>
      </c>
      <c r="F4009" s="4" t="s">
        <v>273</v>
      </c>
    </row>
    <row r="4010" spans="1:6" x14ac:dyDescent="0.25">
      <c r="A4010" s="4" t="str">
        <f>CONCATENATE("3071-0000-2764","")</f>
        <v>3071-0000-2764</v>
      </c>
      <c r="B4010" s="4" t="s">
        <v>859</v>
      </c>
      <c r="C4010" s="5">
        <v>41489</v>
      </c>
      <c r="D4010" s="5">
        <v>41549</v>
      </c>
      <c r="E4010" s="4" t="s">
        <v>7</v>
      </c>
      <c r="F4010" s="4" t="s">
        <v>808</v>
      </c>
    </row>
    <row r="4011" spans="1:6" x14ac:dyDescent="0.25">
      <c r="A4011" s="4" t="str">
        <f>CONCATENATE("3071-0000-8316","")</f>
        <v>3071-0000-8316</v>
      </c>
      <c r="B4011" s="4" t="s">
        <v>5405</v>
      </c>
      <c r="C4011" s="5">
        <v>41489</v>
      </c>
      <c r="D4011" s="5">
        <v>41549</v>
      </c>
      <c r="E4011" s="4" t="s">
        <v>5185</v>
      </c>
      <c r="F4011" s="4" t="s">
        <v>5185</v>
      </c>
    </row>
    <row r="4012" spans="1:6" x14ac:dyDescent="0.25">
      <c r="A4012" s="4" t="str">
        <f>CONCATENATE("3071-0000-0092","")</f>
        <v>3071-0000-0092</v>
      </c>
      <c r="B4012" s="4" t="s">
        <v>180</v>
      </c>
      <c r="C4012" s="5">
        <v>41489</v>
      </c>
      <c r="D4012" s="5">
        <v>41549</v>
      </c>
      <c r="E4012" s="4" t="s">
        <v>7</v>
      </c>
      <c r="F4012" s="4" t="s">
        <v>7</v>
      </c>
    </row>
    <row r="4013" spans="1:6" x14ac:dyDescent="0.25">
      <c r="A4013" s="4" t="str">
        <f>CONCATENATE("3071-0000-2230","")</f>
        <v>3071-0000-2230</v>
      </c>
      <c r="B4013" s="4" t="s">
        <v>3762</v>
      </c>
      <c r="C4013" s="5">
        <v>41489</v>
      </c>
      <c r="D4013" s="5">
        <v>41549</v>
      </c>
      <c r="E4013" s="4" t="s">
        <v>2944</v>
      </c>
      <c r="F4013" s="4" t="s">
        <v>2945</v>
      </c>
    </row>
    <row r="4014" spans="1:6" x14ac:dyDescent="0.25">
      <c r="A4014" s="4" t="str">
        <f>CONCATENATE("3071-0000-2370","")</f>
        <v>3071-0000-2370</v>
      </c>
      <c r="B4014" s="4" t="s">
        <v>3128</v>
      </c>
      <c r="C4014" s="5">
        <v>41489</v>
      </c>
      <c r="D4014" s="5">
        <v>41549</v>
      </c>
      <c r="E4014" s="4" t="s">
        <v>2944</v>
      </c>
      <c r="F4014" s="4" t="s">
        <v>3115</v>
      </c>
    </row>
    <row r="4015" spans="1:6" x14ac:dyDescent="0.25">
      <c r="A4015" s="4" t="str">
        <f>CONCATENATE("3071-0000-5952","")</f>
        <v>3071-0000-5952</v>
      </c>
      <c r="B4015" s="4" t="s">
        <v>7505</v>
      </c>
      <c r="C4015" s="5">
        <v>41489</v>
      </c>
      <c r="D4015" s="5">
        <v>41549</v>
      </c>
      <c r="E4015" s="4" t="s">
        <v>5185</v>
      </c>
      <c r="F4015" s="4" t="s">
        <v>5185</v>
      </c>
    </row>
    <row r="4016" spans="1:6" x14ac:dyDescent="0.25">
      <c r="A4016" s="4" t="str">
        <f>CONCATENATE("3071-0000-6323","")</f>
        <v>3071-0000-6323</v>
      </c>
      <c r="B4016" s="4" t="s">
        <v>7723</v>
      </c>
      <c r="C4016" s="5">
        <v>41489</v>
      </c>
      <c r="D4016" s="5">
        <v>41549</v>
      </c>
      <c r="E4016" s="4" t="s">
        <v>1410</v>
      </c>
      <c r="F4016" s="4" t="s">
        <v>1410</v>
      </c>
    </row>
    <row r="4017" spans="1:6" x14ac:dyDescent="0.25">
      <c r="A4017" s="4" t="str">
        <f>CONCATENATE("3071-0000-6572","")</f>
        <v>3071-0000-6572</v>
      </c>
      <c r="B4017" s="4" t="s">
        <v>7953</v>
      </c>
      <c r="C4017" s="5">
        <v>41489</v>
      </c>
      <c r="D4017" s="5">
        <v>41549</v>
      </c>
      <c r="E4017" s="4" t="s">
        <v>5185</v>
      </c>
      <c r="F4017" s="4" t="s">
        <v>5185</v>
      </c>
    </row>
    <row r="4018" spans="1:6" x14ac:dyDescent="0.25">
      <c r="A4018" s="4" t="str">
        <f>CONCATENATE("3071-0000-2927","")</f>
        <v>3071-0000-2927</v>
      </c>
      <c r="B4018" s="4" t="s">
        <v>1336</v>
      </c>
      <c r="C4018" s="5">
        <v>41489</v>
      </c>
      <c r="D4018" s="5">
        <v>41549</v>
      </c>
      <c r="E4018" s="4" t="s">
        <v>7</v>
      </c>
      <c r="F4018" s="4" t="s">
        <v>808</v>
      </c>
    </row>
    <row r="4019" spans="1:6" x14ac:dyDescent="0.25">
      <c r="A4019" s="4" t="str">
        <f>CONCATENATE("3071-0000-2922","")</f>
        <v>3071-0000-2922</v>
      </c>
      <c r="B4019" s="4" t="s">
        <v>1324</v>
      </c>
      <c r="C4019" s="5">
        <v>41489</v>
      </c>
      <c r="D4019" s="5">
        <v>41549</v>
      </c>
      <c r="E4019" s="4" t="s">
        <v>7</v>
      </c>
      <c r="F4019" s="4" t="s">
        <v>808</v>
      </c>
    </row>
    <row r="4020" spans="1:6" x14ac:dyDescent="0.25">
      <c r="A4020" s="4" t="str">
        <f>CONCATENATE("3071-0000-6648","")</f>
        <v>3071-0000-6648</v>
      </c>
      <c r="B4020" s="4" t="s">
        <v>7975</v>
      </c>
      <c r="C4020" s="5">
        <v>41489</v>
      </c>
      <c r="D4020" s="5">
        <v>41549</v>
      </c>
      <c r="E4020" s="4" t="s">
        <v>5185</v>
      </c>
      <c r="F4020" s="4" t="s">
        <v>5185</v>
      </c>
    </row>
    <row r="4021" spans="1:6" x14ac:dyDescent="0.25">
      <c r="A4021" s="4" t="str">
        <f>CONCATENATE("3071-0000-9553","")</f>
        <v>3071-0000-9553</v>
      </c>
      <c r="B4021" s="4" t="s">
        <v>8652</v>
      </c>
      <c r="C4021" s="5">
        <v>41489</v>
      </c>
      <c r="D4021" s="5">
        <v>41549</v>
      </c>
      <c r="E4021" s="4" t="s">
        <v>1410</v>
      </c>
      <c r="F4021" s="4" t="s">
        <v>4459</v>
      </c>
    </row>
    <row r="4022" spans="1:6" x14ac:dyDescent="0.25">
      <c r="A4022" s="4" t="str">
        <f>CONCATENATE("3071-0000-0115","")</f>
        <v>3071-0000-0115</v>
      </c>
      <c r="B4022" s="4" t="s">
        <v>244</v>
      </c>
      <c r="C4022" s="5">
        <v>41489</v>
      </c>
      <c r="D4022" s="5">
        <v>41549</v>
      </c>
      <c r="E4022" s="4" t="s">
        <v>7</v>
      </c>
      <c r="F4022" s="4" t="s">
        <v>7</v>
      </c>
    </row>
    <row r="4023" spans="1:6" x14ac:dyDescent="0.25">
      <c r="A4023" s="4" t="str">
        <f>CONCATENATE("3071-0000-2789","")</f>
        <v>3071-0000-2789</v>
      </c>
      <c r="B4023" s="4" t="s">
        <v>984</v>
      </c>
      <c r="C4023" s="5">
        <v>41489</v>
      </c>
      <c r="D4023" s="5">
        <v>41549</v>
      </c>
      <c r="E4023" s="4" t="s">
        <v>7</v>
      </c>
      <c r="F4023" s="4" t="s">
        <v>808</v>
      </c>
    </row>
    <row r="4024" spans="1:6" x14ac:dyDescent="0.25">
      <c r="A4024" s="4" t="str">
        <f>CONCATENATE("3071-0000-7075","")</f>
        <v>3071-0000-7075</v>
      </c>
      <c r="B4024" s="4" t="s">
        <v>4718</v>
      </c>
      <c r="C4024" s="5">
        <v>41489</v>
      </c>
      <c r="D4024" s="5">
        <v>41549</v>
      </c>
      <c r="E4024" s="4" t="s">
        <v>1410</v>
      </c>
      <c r="F4024" s="4" t="s">
        <v>1410</v>
      </c>
    </row>
    <row r="4025" spans="1:6" x14ac:dyDescent="0.25">
      <c r="A4025" s="4" t="str">
        <f>CONCATENATE("3071-0000-9431","")</f>
        <v>3071-0000-9431</v>
      </c>
      <c r="B4025" s="4" t="s">
        <v>8427</v>
      </c>
      <c r="C4025" s="5">
        <v>41489</v>
      </c>
      <c r="D4025" s="5">
        <v>41549</v>
      </c>
      <c r="E4025" s="4" t="s">
        <v>1410</v>
      </c>
      <c r="F4025" s="4" t="s">
        <v>7967</v>
      </c>
    </row>
    <row r="4026" spans="1:6" x14ac:dyDescent="0.25">
      <c r="A4026" s="4" t="str">
        <f>CONCATENATE("3071-0000-6681","")</f>
        <v>3071-0000-6681</v>
      </c>
      <c r="B4026" s="4" t="s">
        <v>8040</v>
      </c>
      <c r="C4026" s="5">
        <v>41489</v>
      </c>
      <c r="D4026" s="5">
        <v>41549</v>
      </c>
      <c r="E4026" s="4" t="s">
        <v>5185</v>
      </c>
      <c r="F4026" s="4" t="s">
        <v>5185</v>
      </c>
    </row>
    <row r="4027" spans="1:6" x14ac:dyDescent="0.25">
      <c r="A4027" s="4" t="str">
        <f>CONCATENATE("3071-0000-1256","")</f>
        <v>3071-0000-1256</v>
      </c>
      <c r="B4027" s="4" t="s">
        <v>2346</v>
      </c>
      <c r="C4027" s="5">
        <v>41489</v>
      </c>
      <c r="D4027" s="5">
        <v>41549</v>
      </c>
      <c r="E4027" s="4" t="s">
        <v>1381</v>
      </c>
      <c r="F4027" s="4" t="s">
        <v>2303</v>
      </c>
    </row>
    <row r="4028" spans="1:6" x14ac:dyDescent="0.25">
      <c r="A4028" s="4" t="str">
        <f>CONCATENATE("3071-0000-8832","")</f>
        <v>3071-0000-8832</v>
      </c>
      <c r="B4028" s="4" t="s">
        <v>5791</v>
      </c>
      <c r="C4028" s="5">
        <v>41489</v>
      </c>
      <c r="D4028" s="5">
        <v>41549</v>
      </c>
      <c r="E4028" s="4" t="s">
        <v>5185</v>
      </c>
      <c r="F4028" s="4" t="s">
        <v>5763</v>
      </c>
    </row>
    <row r="4029" spans="1:6" x14ac:dyDescent="0.25">
      <c r="A4029" s="4" t="str">
        <f>CONCATENATE("3071-0000-2340","")</f>
        <v>3071-0000-2340</v>
      </c>
      <c r="B4029" s="4" t="s">
        <v>3227</v>
      </c>
      <c r="C4029" s="5">
        <v>41489</v>
      </c>
      <c r="D4029" s="5">
        <v>41549</v>
      </c>
      <c r="E4029" s="4" t="s">
        <v>2944</v>
      </c>
      <c r="F4029" s="4" t="s">
        <v>2945</v>
      </c>
    </row>
    <row r="4030" spans="1:6" x14ac:dyDescent="0.25">
      <c r="A4030" s="4" t="str">
        <f>CONCATENATE("3071-0000-7004","")</f>
        <v>3071-0000-7004</v>
      </c>
      <c r="B4030" s="4" t="s">
        <v>4340</v>
      </c>
      <c r="C4030" s="5">
        <v>41489</v>
      </c>
      <c r="D4030" s="5">
        <v>41549</v>
      </c>
      <c r="E4030" s="4" t="s">
        <v>1410</v>
      </c>
      <c r="F4030" s="4" t="s">
        <v>1410</v>
      </c>
    </row>
    <row r="4031" spans="1:6" x14ac:dyDescent="0.25">
      <c r="A4031" s="4" t="str">
        <f>CONCATENATE("3071-0000-0500","")</f>
        <v>3071-0000-0500</v>
      </c>
      <c r="B4031" s="4" t="s">
        <v>731</v>
      </c>
      <c r="C4031" s="5">
        <v>41489</v>
      </c>
      <c r="D4031" s="5">
        <v>41549</v>
      </c>
      <c r="E4031" s="4" t="s">
        <v>7</v>
      </c>
      <c r="F4031" s="4" t="s">
        <v>273</v>
      </c>
    </row>
    <row r="4032" spans="1:6" x14ac:dyDescent="0.25">
      <c r="A4032" s="4" t="str">
        <f>CONCATENATE("3071-0000-8907","")</f>
        <v>3071-0000-8907</v>
      </c>
      <c r="B4032" s="4" t="s">
        <v>6298</v>
      </c>
      <c r="C4032" s="5">
        <v>41489</v>
      </c>
      <c r="D4032" s="5">
        <v>41549</v>
      </c>
      <c r="E4032" s="4" t="s">
        <v>5185</v>
      </c>
      <c r="F4032" s="4" t="s">
        <v>6181</v>
      </c>
    </row>
    <row r="4033" spans="1:6" x14ac:dyDescent="0.25">
      <c r="A4033" s="4" t="str">
        <f>CONCATENATE("3071-0000-5385","")</f>
        <v>3071-0000-5385</v>
      </c>
      <c r="B4033" s="4" t="s">
        <v>6830</v>
      </c>
      <c r="C4033" s="5">
        <v>41489</v>
      </c>
      <c r="D4033" s="5">
        <v>41549</v>
      </c>
      <c r="E4033" s="4" t="s">
        <v>5185</v>
      </c>
      <c r="F4033" s="4" t="s">
        <v>5185</v>
      </c>
    </row>
    <row r="4034" spans="1:6" x14ac:dyDescent="0.25">
      <c r="A4034" s="4" t="str">
        <f>CONCATENATE("3071-0000-6745","")</f>
        <v>3071-0000-6745</v>
      </c>
      <c r="B4034" s="4" t="s">
        <v>8012</v>
      </c>
      <c r="C4034" s="5">
        <v>41489</v>
      </c>
      <c r="D4034" s="5">
        <v>41549</v>
      </c>
      <c r="E4034" s="4" t="s">
        <v>5185</v>
      </c>
      <c r="F4034" s="4" t="s">
        <v>5185</v>
      </c>
    </row>
    <row r="4035" spans="1:6" x14ac:dyDescent="0.25">
      <c r="A4035" s="4" t="str">
        <f>CONCATENATE("3071-0000-6692","")</f>
        <v>3071-0000-6692</v>
      </c>
      <c r="B4035" s="4" t="s">
        <v>8034</v>
      </c>
      <c r="C4035" s="5">
        <v>41489</v>
      </c>
      <c r="D4035" s="5">
        <v>41549</v>
      </c>
      <c r="E4035" s="4" t="s">
        <v>5185</v>
      </c>
      <c r="F4035" s="4" t="s">
        <v>5185</v>
      </c>
    </row>
    <row r="4036" spans="1:6" x14ac:dyDescent="0.25">
      <c r="A4036" s="4" t="str">
        <f>CONCATENATE("3071-0000-8956","")</f>
        <v>3071-0000-8956</v>
      </c>
      <c r="B4036" s="4" t="s">
        <v>6292</v>
      </c>
      <c r="C4036" s="5">
        <v>41489</v>
      </c>
      <c r="D4036" s="5">
        <v>41549</v>
      </c>
      <c r="E4036" s="4" t="s">
        <v>5185</v>
      </c>
      <c r="F4036" s="4" t="s">
        <v>6181</v>
      </c>
    </row>
    <row r="4037" spans="1:6" x14ac:dyDescent="0.25">
      <c r="A4037" s="4" t="str">
        <f>CONCATENATE("3071-0000-3863","")</f>
        <v>3071-0000-3863</v>
      </c>
      <c r="B4037" s="4" t="s">
        <v>4010</v>
      </c>
      <c r="C4037" s="5">
        <v>41489</v>
      </c>
      <c r="D4037" s="5">
        <v>41549</v>
      </c>
      <c r="E4037" s="4" t="s">
        <v>1381</v>
      </c>
      <c r="F4037" s="4" t="s">
        <v>3994</v>
      </c>
    </row>
    <row r="4038" spans="1:6" x14ac:dyDescent="0.25">
      <c r="A4038" s="4" t="str">
        <f>CONCATENATE("3071-0000-7385","")</f>
        <v>3071-0000-7385</v>
      </c>
      <c r="B4038" s="4" t="s">
        <v>4699</v>
      </c>
      <c r="C4038" s="5">
        <v>41489</v>
      </c>
      <c r="D4038" s="5">
        <v>41549</v>
      </c>
      <c r="E4038" s="4" t="s">
        <v>1410</v>
      </c>
      <c r="F4038" s="4" t="s">
        <v>1410</v>
      </c>
    </row>
    <row r="4039" spans="1:6" x14ac:dyDescent="0.25">
      <c r="A4039" s="4" t="str">
        <f>CONCATENATE("3071-0000-7542","")</f>
        <v>3071-0000-7542</v>
      </c>
      <c r="B4039" s="4" t="s">
        <v>4702</v>
      </c>
      <c r="C4039" s="5">
        <v>41489</v>
      </c>
      <c r="D4039" s="5">
        <v>41549</v>
      </c>
      <c r="E4039" s="4" t="s">
        <v>1410</v>
      </c>
      <c r="F4039" s="4" t="s">
        <v>4655</v>
      </c>
    </row>
    <row r="4040" spans="1:6" x14ac:dyDescent="0.25">
      <c r="A4040" s="4" t="str">
        <f>CONCATENATE("3071-0000-7498","")</f>
        <v>3071-0000-7498</v>
      </c>
      <c r="B4040" s="4" t="s">
        <v>4700</v>
      </c>
      <c r="C4040" s="5">
        <v>41489</v>
      </c>
      <c r="D4040" s="5">
        <v>41549</v>
      </c>
      <c r="E4040" s="4" t="s">
        <v>1410</v>
      </c>
      <c r="F4040" s="4" t="s">
        <v>4655</v>
      </c>
    </row>
    <row r="4041" spans="1:6" x14ac:dyDescent="0.25">
      <c r="A4041" s="4" t="str">
        <f>CONCATENATE("3071-0000-9294","")</f>
        <v>3071-0000-9294</v>
      </c>
      <c r="B4041" s="4" t="s">
        <v>8302</v>
      </c>
      <c r="C4041" s="5">
        <v>41489</v>
      </c>
      <c r="D4041" s="5">
        <v>41549</v>
      </c>
      <c r="E4041" s="4" t="s">
        <v>5185</v>
      </c>
      <c r="F4041" s="4" t="s">
        <v>5185</v>
      </c>
    </row>
    <row r="4042" spans="1:6" x14ac:dyDescent="0.25">
      <c r="A4042" s="4" t="str">
        <f>CONCATENATE("3071-0000-8169","")</f>
        <v>3071-0000-8169</v>
      </c>
      <c r="B4042" s="4" t="s">
        <v>5226</v>
      </c>
      <c r="C4042" s="5">
        <v>41489</v>
      </c>
      <c r="D4042" s="5">
        <v>41549</v>
      </c>
      <c r="E4042" s="4" t="s">
        <v>5185</v>
      </c>
      <c r="F4042" s="4" t="s">
        <v>5185</v>
      </c>
    </row>
    <row r="4043" spans="1:6" x14ac:dyDescent="0.25">
      <c r="A4043" s="4" t="str">
        <f>CONCATENATE("3071-0000-5736","")</f>
        <v>3071-0000-5736</v>
      </c>
      <c r="B4043" s="4" t="s">
        <v>7460</v>
      </c>
      <c r="C4043" s="5">
        <v>41489</v>
      </c>
      <c r="D4043" s="5">
        <v>41549</v>
      </c>
      <c r="E4043" s="4" t="s">
        <v>5185</v>
      </c>
      <c r="F4043" s="4" t="s">
        <v>5185</v>
      </c>
    </row>
    <row r="4044" spans="1:6" x14ac:dyDescent="0.25">
      <c r="A4044" s="4" t="str">
        <f>CONCATENATE("3071-0000-3717","")</f>
        <v>3071-0000-3717</v>
      </c>
      <c r="B4044" s="4" t="s">
        <v>1428</v>
      </c>
      <c r="C4044" s="5">
        <v>41489</v>
      </c>
      <c r="D4044" s="5">
        <v>41549</v>
      </c>
      <c r="E4044" s="4" t="s">
        <v>1410</v>
      </c>
      <c r="F4044" s="4" t="s">
        <v>1411</v>
      </c>
    </row>
    <row r="4045" spans="1:6" x14ac:dyDescent="0.25">
      <c r="A4045" s="4" t="str">
        <f>CONCATENATE("3071-0000-2958","")</f>
        <v>3071-0000-2958</v>
      </c>
      <c r="B4045" s="4" t="s">
        <v>944</v>
      </c>
      <c r="C4045" s="5">
        <v>41489</v>
      </c>
      <c r="D4045" s="5">
        <v>41549</v>
      </c>
      <c r="E4045" s="4" t="s">
        <v>7</v>
      </c>
      <c r="F4045" s="4" t="s">
        <v>808</v>
      </c>
    </row>
    <row r="4046" spans="1:6" x14ac:dyDescent="0.25">
      <c r="A4046" s="4" t="str">
        <f>CONCATENATE("3071-0000-6065","")</f>
        <v>3071-0000-6065</v>
      </c>
      <c r="B4046" s="4" t="s">
        <v>7575</v>
      </c>
      <c r="C4046" s="5">
        <v>41489</v>
      </c>
      <c r="D4046" s="5">
        <v>41549</v>
      </c>
      <c r="E4046" s="4" t="s">
        <v>1410</v>
      </c>
      <c r="F4046" s="4" t="s">
        <v>1410</v>
      </c>
    </row>
    <row r="4047" spans="1:6" x14ac:dyDescent="0.25">
      <c r="A4047" s="4" t="str">
        <f>CONCATENATE("3071-0000-9296","")</f>
        <v>3071-0000-9296</v>
      </c>
      <c r="B4047" s="4" t="s">
        <v>8392</v>
      </c>
      <c r="C4047" s="5">
        <v>41489</v>
      </c>
      <c r="D4047" s="5">
        <v>41549</v>
      </c>
      <c r="E4047" s="4" t="s">
        <v>5185</v>
      </c>
      <c r="F4047" s="4" t="s">
        <v>5185</v>
      </c>
    </row>
    <row r="4048" spans="1:6" x14ac:dyDescent="0.25">
      <c r="A4048" s="4" t="str">
        <f>CONCATENATE("3071-0000-9308","")</f>
        <v>3071-0000-9308</v>
      </c>
      <c r="B4048" s="4" t="s">
        <v>8315</v>
      </c>
      <c r="C4048" s="5">
        <v>41489</v>
      </c>
      <c r="D4048" s="5">
        <v>41549</v>
      </c>
      <c r="E4048" s="4" t="s">
        <v>5185</v>
      </c>
      <c r="F4048" s="4" t="s">
        <v>5185</v>
      </c>
    </row>
    <row r="4049" spans="1:6" x14ac:dyDescent="0.25">
      <c r="A4049" s="4" t="str">
        <f>CONCATENATE("3071-0000-9618","")</f>
        <v>3071-0000-9618</v>
      </c>
      <c r="B4049" s="4" t="s">
        <v>8612</v>
      </c>
      <c r="C4049" s="5">
        <v>41489</v>
      </c>
      <c r="D4049" s="5">
        <v>41549</v>
      </c>
      <c r="E4049" s="4" t="s">
        <v>1410</v>
      </c>
      <c r="F4049" s="4" t="s">
        <v>4459</v>
      </c>
    </row>
    <row r="4050" spans="1:6" x14ac:dyDescent="0.25">
      <c r="A4050" s="4" t="str">
        <f>CONCATENATE("3071-0000-9222","")</f>
        <v>3071-0000-9222</v>
      </c>
      <c r="B4050" s="4" t="s">
        <v>8362</v>
      </c>
      <c r="C4050" s="5">
        <v>41489</v>
      </c>
      <c r="D4050" s="5">
        <v>41549</v>
      </c>
      <c r="E4050" s="4" t="s">
        <v>5185</v>
      </c>
      <c r="F4050" s="4" t="s">
        <v>5185</v>
      </c>
    </row>
    <row r="4051" spans="1:6" x14ac:dyDescent="0.25">
      <c r="A4051" s="4" t="str">
        <f>CONCATENATE("3071-0000-9367","")</f>
        <v>3071-0000-9367</v>
      </c>
      <c r="B4051" s="4" t="s">
        <v>8678</v>
      </c>
      <c r="C4051" s="5">
        <v>41489</v>
      </c>
      <c r="D4051" s="5">
        <v>41549</v>
      </c>
      <c r="E4051" s="4" t="s">
        <v>1410</v>
      </c>
      <c r="F4051" s="4" t="s">
        <v>4459</v>
      </c>
    </row>
    <row r="4052" spans="1:6" x14ac:dyDescent="0.25">
      <c r="A4052" s="4" t="str">
        <f>CONCATENATE("3071-0000-2484","")</f>
        <v>3071-0000-2484</v>
      </c>
      <c r="B4052" s="4" t="s">
        <v>3603</v>
      </c>
      <c r="C4052" s="5">
        <v>41489</v>
      </c>
      <c r="D4052" s="5">
        <v>41549</v>
      </c>
      <c r="E4052" s="4" t="s">
        <v>2944</v>
      </c>
      <c r="F4052" s="4" t="s">
        <v>3593</v>
      </c>
    </row>
    <row r="4053" spans="1:6" x14ac:dyDescent="0.25">
      <c r="A4053" s="4" t="str">
        <f>CONCATENATE("3071-0000-9566","")</f>
        <v>3071-0000-9566</v>
      </c>
      <c r="B4053" s="4" t="s">
        <v>8371</v>
      </c>
      <c r="C4053" s="5">
        <v>41489</v>
      </c>
      <c r="D4053" s="5">
        <v>41549</v>
      </c>
      <c r="E4053" s="4" t="s">
        <v>1410</v>
      </c>
      <c r="F4053" s="4" t="s">
        <v>7967</v>
      </c>
    </row>
    <row r="4054" spans="1:6" x14ac:dyDescent="0.25">
      <c r="A4054" s="4" t="str">
        <f>CONCATENATE("3071-0000-9509","")</f>
        <v>3071-0000-9509</v>
      </c>
      <c r="B4054" s="4" t="s">
        <v>8398</v>
      </c>
      <c r="C4054" s="5">
        <v>41489</v>
      </c>
      <c r="D4054" s="5">
        <v>41549</v>
      </c>
      <c r="E4054" s="4" t="s">
        <v>1410</v>
      </c>
      <c r="F4054" s="4" t="s">
        <v>4459</v>
      </c>
    </row>
    <row r="4055" spans="1:6" x14ac:dyDescent="0.25">
      <c r="A4055" s="4" t="str">
        <f>CONCATENATE("3071-0000-7801","")</f>
        <v>3071-0000-7801</v>
      </c>
      <c r="B4055" s="4" t="s">
        <v>5217</v>
      </c>
      <c r="C4055" s="5">
        <v>41489</v>
      </c>
      <c r="D4055" s="5">
        <v>41549</v>
      </c>
      <c r="E4055" s="4" t="s">
        <v>5185</v>
      </c>
      <c r="F4055" s="4" t="s">
        <v>5185</v>
      </c>
    </row>
    <row r="4056" spans="1:6" x14ac:dyDescent="0.25">
      <c r="A4056" s="4" t="str">
        <f>CONCATENATE("3071-0000-7390","")</f>
        <v>3071-0000-7390</v>
      </c>
      <c r="B4056" s="4" t="s">
        <v>4755</v>
      </c>
      <c r="C4056" s="5">
        <v>41489</v>
      </c>
      <c r="D4056" s="5">
        <v>41549</v>
      </c>
      <c r="E4056" s="4" t="s">
        <v>1410</v>
      </c>
      <c r="F4056" s="4" t="s">
        <v>1410</v>
      </c>
    </row>
    <row r="4057" spans="1:6" x14ac:dyDescent="0.25">
      <c r="A4057" s="4" t="str">
        <f>CONCATENATE("3071-0000-9569","")</f>
        <v>3071-0000-9569</v>
      </c>
      <c r="B4057" s="4" t="s">
        <v>8544</v>
      </c>
      <c r="C4057" s="5">
        <v>41489</v>
      </c>
      <c r="D4057" s="5">
        <v>41549</v>
      </c>
      <c r="E4057" s="4" t="s">
        <v>1410</v>
      </c>
      <c r="F4057" s="4" t="s">
        <v>4459</v>
      </c>
    </row>
    <row r="4058" spans="1:6" x14ac:dyDescent="0.25">
      <c r="A4058" s="4" t="str">
        <f>CONCATENATE("3071-0000-7700","")</f>
        <v>3071-0000-7700</v>
      </c>
      <c r="B4058" s="4" t="s">
        <v>4301</v>
      </c>
      <c r="C4058" s="5">
        <v>41489</v>
      </c>
      <c r="D4058" s="5">
        <v>41549</v>
      </c>
      <c r="E4058" s="4" t="s">
        <v>1410</v>
      </c>
      <c r="F4058" s="4" t="s">
        <v>1410</v>
      </c>
    </row>
    <row r="4059" spans="1:6" x14ac:dyDescent="0.25">
      <c r="A4059" s="4" t="str">
        <f>CONCATENATE("3071-0000-6811","")</f>
        <v>3071-0000-6811</v>
      </c>
      <c r="B4059" s="4" t="s">
        <v>7830</v>
      </c>
      <c r="C4059" s="5">
        <v>41489</v>
      </c>
      <c r="D4059" s="5">
        <v>41549</v>
      </c>
      <c r="E4059" s="4" t="s">
        <v>1410</v>
      </c>
      <c r="F4059" s="4" t="s">
        <v>4655</v>
      </c>
    </row>
    <row r="4060" spans="1:6" x14ac:dyDescent="0.25">
      <c r="A4060" s="4" t="str">
        <f>CONCATENATE("3071-0000-0040","")</f>
        <v>3071-0000-0040</v>
      </c>
      <c r="B4060" s="4" t="s">
        <v>73</v>
      </c>
      <c r="C4060" s="5">
        <v>41489</v>
      </c>
      <c r="D4060" s="5">
        <v>41549</v>
      </c>
      <c r="E4060" s="4" t="s">
        <v>7</v>
      </c>
      <c r="F4060" s="4" t="s">
        <v>7</v>
      </c>
    </row>
    <row r="4061" spans="1:6" x14ac:dyDescent="0.25">
      <c r="A4061" s="4" t="str">
        <f>CONCATENATE("3071-0000-9507","")</f>
        <v>3071-0000-9507</v>
      </c>
      <c r="B4061" s="4" t="s">
        <v>8572</v>
      </c>
      <c r="C4061" s="5">
        <v>41489</v>
      </c>
      <c r="D4061" s="5">
        <v>41549</v>
      </c>
      <c r="E4061" s="4" t="s">
        <v>1410</v>
      </c>
      <c r="F4061" s="4" t="s">
        <v>4459</v>
      </c>
    </row>
    <row r="4062" spans="1:6" x14ac:dyDescent="0.25">
      <c r="A4062" s="4" t="str">
        <f>CONCATENATE("3071-0000-7997","")</f>
        <v>3071-0000-7997</v>
      </c>
      <c r="B4062" s="4" t="s">
        <v>5386</v>
      </c>
      <c r="C4062" s="5">
        <v>41489</v>
      </c>
      <c r="D4062" s="5">
        <v>41549</v>
      </c>
      <c r="E4062" s="4" t="s">
        <v>5185</v>
      </c>
      <c r="F4062" s="4" t="s">
        <v>5185</v>
      </c>
    </row>
    <row r="4063" spans="1:6" x14ac:dyDescent="0.25">
      <c r="A4063" s="4" t="str">
        <f>CONCATENATE("3071-0000-8095","")</f>
        <v>3071-0000-8095</v>
      </c>
      <c r="B4063" s="4" t="s">
        <v>5880</v>
      </c>
      <c r="C4063" s="5">
        <v>41489</v>
      </c>
      <c r="D4063" s="5">
        <v>41549</v>
      </c>
      <c r="E4063" s="4" t="s">
        <v>5185</v>
      </c>
      <c r="F4063" s="4" t="s">
        <v>5185</v>
      </c>
    </row>
    <row r="4064" spans="1:6" x14ac:dyDescent="0.25">
      <c r="A4064" s="4" t="str">
        <f>CONCATENATE("3071-0000-0116","")</f>
        <v>3071-0000-0116</v>
      </c>
      <c r="B4064" s="4" t="s">
        <v>250</v>
      </c>
      <c r="C4064" s="5">
        <v>41489</v>
      </c>
      <c r="D4064" s="5">
        <v>41549</v>
      </c>
      <c r="E4064" s="4" t="s">
        <v>7</v>
      </c>
      <c r="F4064" s="4" t="s">
        <v>7</v>
      </c>
    </row>
    <row r="4065" spans="1:6" x14ac:dyDescent="0.25">
      <c r="A4065" s="4" t="str">
        <f>CONCATENATE("3071-0000-7981","")</f>
        <v>3071-0000-7981</v>
      </c>
      <c r="B4065" s="4" t="s">
        <v>5364</v>
      </c>
      <c r="C4065" s="5">
        <v>41489</v>
      </c>
      <c r="D4065" s="5">
        <v>41549</v>
      </c>
      <c r="E4065" s="4" t="s">
        <v>5185</v>
      </c>
      <c r="F4065" s="4" t="s">
        <v>5185</v>
      </c>
    </row>
    <row r="4066" spans="1:6" x14ac:dyDescent="0.25">
      <c r="A4066" s="4" t="str">
        <f>CONCATENATE("3071-0000-2448","")</f>
        <v>3071-0000-2448</v>
      </c>
      <c r="B4066" s="4" t="s">
        <v>3764</v>
      </c>
      <c r="C4066" s="5">
        <v>41489</v>
      </c>
      <c r="D4066" s="5">
        <v>41549</v>
      </c>
      <c r="E4066" s="4" t="s">
        <v>2944</v>
      </c>
      <c r="F4066" s="4" t="s">
        <v>3115</v>
      </c>
    </row>
    <row r="4067" spans="1:6" x14ac:dyDescent="0.25">
      <c r="A4067" s="4" t="str">
        <f>CONCATENATE("3071-0000-7984","")</f>
        <v>3071-0000-7984</v>
      </c>
      <c r="B4067" s="4" t="s">
        <v>5356</v>
      </c>
      <c r="C4067" s="5">
        <v>41489</v>
      </c>
      <c r="D4067" s="5">
        <v>41549</v>
      </c>
      <c r="E4067" s="4" t="s">
        <v>5185</v>
      </c>
      <c r="F4067" s="4" t="s">
        <v>5185</v>
      </c>
    </row>
    <row r="4068" spans="1:6" x14ac:dyDescent="0.25">
      <c r="A4068" s="4" t="str">
        <f>CONCATENATE("3071-0000-5338","")</f>
        <v>3071-0000-5338</v>
      </c>
      <c r="B4068" s="4" t="s">
        <v>6812</v>
      </c>
      <c r="C4068" s="5">
        <v>41489</v>
      </c>
      <c r="D4068" s="5">
        <v>41549</v>
      </c>
      <c r="E4068" s="4" t="s">
        <v>5185</v>
      </c>
      <c r="F4068" s="4" t="s">
        <v>5185</v>
      </c>
    </row>
    <row r="4069" spans="1:6" x14ac:dyDescent="0.25">
      <c r="A4069" s="4" t="str">
        <f>CONCATENATE("3071-0000-5339","")</f>
        <v>3071-0000-5339</v>
      </c>
      <c r="B4069" s="4" t="s">
        <v>6813</v>
      </c>
      <c r="C4069" s="5">
        <v>41489</v>
      </c>
      <c r="D4069" s="5">
        <v>41549</v>
      </c>
      <c r="E4069" s="4" t="s">
        <v>5185</v>
      </c>
      <c r="F4069" s="4" t="s">
        <v>5185</v>
      </c>
    </row>
    <row r="4070" spans="1:6" x14ac:dyDescent="0.25">
      <c r="A4070" s="4" t="str">
        <f>CONCATENATE("3071-0000-7481","")</f>
        <v>3071-0000-7481</v>
      </c>
      <c r="B4070" s="4" t="s">
        <v>4285</v>
      </c>
      <c r="C4070" s="5">
        <v>41489</v>
      </c>
      <c r="D4070" s="5">
        <v>41549</v>
      </c>
      <c r="E4070" s="4" t="s">
        <v>1410</v>
      </c>
      <c r="F4070" s="4" t="s">
        <v>1410</v>
      </c>
    </row>
    <row r="4071" spans="1:6" x14ac:dyDescent="0.25">
      <c r="A4071" s="4" t="str">
        <f>CONCATENATE("3071-0000-6885","")</f>
        <v>3071-0000-6885</v>
      </c>
      <c r="B4071" s="4" t="s">
        <v>4327</v>
      </c>
      <c r="C4071" s="5">
        <v>41489</v>
      </c>
      <c r="D4071" s="5">
        <v>41549</v>
      </c>
      <c r="E4071" s="4" t="s">
        <v>1410</v>
      </c>
      <c r="F4071" s="4" t="s">
        <v>1410</v>
      </c>
    </row>
    <row r="4072" spans="1:6" x14ac:dyDescent="0.25">
      <c r="A4072" s="4" t="str">
        <f>CONCATENATE("3071-0000-3675","")</f>
        <v>3071-0000-3675</v>
      </c>
      <c r="B4072" s="4" t="s">
        <v>1686</v>
      </c>
      <c r="C4072" s="5">
        <v>41489</v>
      </c>
      <c r="D4072" s="5">
        <v>41549</v>
      </c>
      <c r="E4072" s="4" t="s">
        <v>1410</v>
      </c>
      <c r="F4072" s="4" t="s">
        <v>1601</v>
      </c>
    </row>
    <row r="4073" spans="1:6" x14ac:dyDescent="0.25">
      <c r="A4073" s="4" t="str">
        <f>CONCATENATE("3071-0000-7585","")</f>
        <v>3071-0000-7585</v>
      </c>
      <c r="B4073" s="4" t="s">
        <v>4642</v>
      </c>
      <c r="C4073" s="5">
        <v>41489</v>
      </c>
      <c r="D4073" s="5">
        <v>41549</v>
      </c>
      <c r="E4073" s="4" t="s">
        <v>1410</v>
      </c>
      <c r="F4073" s="4" t="s">
        <v>1410</v>
      </c>
    </row>
    <row r="4074" spans="1:6" x14ac:dyDescent="0.25">
      <c r="A4074" s="4" t="str">
        <f>CONCATENATE("3071-0000-6049","")</f>
        <v>3071-0000-6049</v>
      </c>
      <c r="B4074" s="4" t="s">
        <v>7623</v>
      </c>
      <c r="C4074" s="5">
        <v>41489</v>
      </c>
      <c r="D4074" s="5">
        <v>41549</v>
      </c>
      <c r="E4074" s="4" t="s">
        <v>1410</v>
      </c>
      <c r="F4074" s="4" t="s">
        <v>1410</v>
      </c>
    </row>
    <row r="4075" spans="1:6" x14ac:dyDescent="0.25">
      <c r="A4075" s="4" t="str">
        <f>CONCATENATE("3071-0000-9185","")</f>
        <v>3071-0000-9185</v>
      </c>
      <c r="B4075" s="4" t="s">
        <v>6166</v>
      </c>
      <c r="C4075" s="5">
        <v>41489</v>
      </c>
      <c r="D4075" s="5">
        <v>41549</v>
      </c>
      <c r="E4075" s="4" t="s">
        <v>5185</v>
      </c>
      <c r="F4075" s="4" t="s">
        <v>5945</v>
      </c>
    </row>
    <row r="4076" spans="1:6" x14ac:dyDescent="0.25">
      <c r="A4076" s="4" t="str">
        <f>CONCATENATE("3071-0000-7467","")</f>
        <v>3071-0000-7467</v>
      </c>
      <c r="B4076" s="4" t="s">
        <v>4395</v>
      </c>
      <c r="C4076" s="5">
        <v>41489</v>
      </c>
      <c r="D4076" s="5">
        <v>41549</v>
      </c>
      <c r="E4076" s="4" t="s">
        <v>1410</v>
      </c>
      <c r="F4076" s="4" t="s">
        <v>1410</v>
      </c>
    </row>
    <row r="4077" spans="1:6" x14ac:dyDescent="0.25">
      <c r="A4077" s="4" t="str">
        <f>CONCATENATE("3071-0000-3575","")</f>
        <v>3071-0000-3575</v>
      </c>
      <c r="B4077" s="4" t="s">
        <v>1694</v>
      </c>
      <c r="C4077" s="5">
        <v>41489</v>
      </c>
      <c r="D4077" s="5">
        <v>41549</v>
      </c>
      <c r="E4077" s="4" t="s">
        <v>1410</v>
      </c>
      <c r="F4077" s="4" t="s">
        <v>1411</v>
      </c>
    </row>
    <row r="4078" spans="1:6" x14ac:dyDescent="0.25">
      <c r="A4078" s="4" t="str">
        <f>CONCATENATE("3071-0000-7525","")</f>
        <v>3071-0000-7525</v>
      </c>
      <c r="B4078" s="4" t="s">
        <v>4358</v>
      </c>
      <c r="C4078" s="5">
        <v>41489</v>
      </c>
      <c r="D4078" s="5">
        <v>41549</v>
      </c>
      <c r="E4078" s="4" t="s">
        <v>1410</v>
      </c>
      <c r="F4078" s="4" t="s">
        <v>1410</v>
      </c>
    </row>
    <row r="4079" spans="1:6" x14ac:dyDescent="0.25">
      <c r="A4079" s="4" t="str">
        <f>CONCATENATE("3071-0000-8971","")</f>
        <v>3071-0000-8971</v>
      </c>
      <c r="B4079" s="4" t="s">
        <v>6257</v>
      </c>
      <c r="C4079" s="5">
        <v>41489</v>
      </c>
      <c r="D4079" s="5">
        <v>41549</v>
      </c>
      <c r="E4079" s="4" t="s">
        <v>5185</v>
      </c>
      <c r="F4079" s="4" t="s">
        <v>6181</v>
      </c>
    </row>
    <row r="4080" spans="1:6" x14ac:dyDescent="0.25">
      <c r="A4080" s="4" t="str">
        <f>CONCATENATE("3071-0000-7912","")</f>
        <v>3071-0000-7912</v>
      </c>
      <c r="B4080" s="4" t="s">
        <v>5605</v>
      </c>
      <c r="C4080" s="5">
        <v>41489</v>
      </c>
      <c r="D4080" s="5">
        <v>41549</v>
      </c>
      <c r="E4080" s="4" t="s">
        <v>5185</v>
      </c>
      <c r="F4080" s="4" t="s">
        <v>5185</v>
      </c>
    </row>
    <row r="4081" spans="1:6" x14ac:dyDescent="0.25">
      <c r="A4081" s="4" t="str">
        <f>CONCATENATE("3071-0000-3116","")</f>
        <v>3071-0000-3116</v>
      </c>
      <c r="B4081" s="4" t="s">
        <v>1015</v>
      </c>
      <c r="C4081" s="5">
        <v>41489</v>
      </c>
      <c r="D4081" s="5">
        <v>41549</v>
      </c>
      <c r="E4081" s="4" t="s">
        <v>7</v>
      </c>
      <c r="F4081" s="4" t="s">
        <v>808</v>
      </c>
    </row>
    <row r="4082" spans="1:6" x14ac:dyDescent="0.25">
      <c r="A4082" s="4" t="str">
        <f>CONCATENATE("3071-0000-9462","")</f>
        <v>3071-0000-9462</v>
      </c>
      <c r="B4082" s="4" t="s">
        <v>8516</v>
      </c>
      <c r="C4082" s="5">
        <v>41489</v>
      </c>
      <c r="D4082" s="5">
        <v>41549</v>
      </c>
      <c r="E4082" s="4" t="s">
        <v>1410</v>
      </c>
      <c r="F4082" s="4" t="s">
        <v>4459</v>
      </c>
    </row>
    <row r="4083" spans="1:6" x14ac:dyDescent="0.25">
      <c r="A4083" s="4" t="str">
        <f>CONCATENATE("3071-0000-6754","")</f>
        <v>3071-0000-6754</v>
      </c>
      <c r="B4083" s="4" t="s">
        <v>8200</v>
      </c>
      <c r="C4083" s="5">
        <v>41489</v>
      </c>
      <c r="D4083" s="5">
        <v>41549</v>
      </c>
      <c r="E4083" s="4" t="s">
        <v>1410</v>
      </c>
      <c r="F4083" s="4" t="s">
        <v>8192</v>
      </c>
    </row>
    <row r="4084" spans="1:6" x14ac:dyDescent="0.25">
      <c r="A4084" s="4" t="str">
        <f>CONCATENATE("3071-0000-9243","")</f>
        <v>3071-0000-9243</v>
      </c>
      <c r="B4084" s="4" t="s">
        <v>8303</v>
      </c>
      <c r="C4084" s="5">
        <v>41489</v>
      </c>
      <c r="D4084" s="5">
        <v>41549</v>
      </c>
      <c r="E4084" s="4" t="s">
        <v>5185</v>
      </c>
      <c r="F4084" s="4" t="s">
        <v>5185</v>
      </c>
    </row>
    <row r="4085" spans="1:6" x14ac:dyDescent="0.25">
      <c r="A4085" s="4" t="str">
        <f>CONCATENATE("3071-0000-2775","")</f>
        <v>3071-0000-2775</v>
      </c>
      <c r="B4085" s="4" t="s">
        <v>920</v>
      </c>
      <c r="C4085" s="5">
        <v>41489</v>
      </c>
      <c r="D4085" s="5">
        <v>41549</v>
      </c>
      <c r="E4085" s="4" t="s">
        <v>7</v>
      </c>
      <c r="F4085" s="4" t="s">
        <v>808</v>
      </c>
    </row>
    <row r="4086" spans="1:6" x14ac:dyDescent="0.25">
      <c r="A4086" s="4" t="str">
        <f>CONCATENATE("3071-0000-8164","")</f>
        <v>3071-0000-8164</v>
      </c>
      <c r="B4086" s="4" t="s">
        <v>5243</v>
      </c>
      <c r="C4086" s="5">
        <v>41489</v>
      </c>
      <c r="D4086" s="5">
        <v>41549</v>
      </c>
      <c r="E4086" s="4" t="s">
        <v>5185</v>
      </c>
      <c r="F4086" s="4" t="s">
        <v>5185</v>
      </c>
    </row>
    <row r="4087" spans="1:6" x14ac:dyDescent="0.25">
      <c r="A4087" s="4" t="str">
        <f>CONCATENATE("3071-0000-6831","")</f>
        <v>3071-0000-6831</v>
      </c>
      <c r="B4087" s="4" t="s">
        <v>7822</v>
      </c>
      <c r="C4087" s="5">
        <v>41489</v>
      </c>
      <c r="D4087" s="5">
        <v>41549</v>
      </c>
      <c r="E4087" s="4" t="s">
        <v>1410</v>
      </c>
      <c r="F4087" s="4" t="s">
        <v>4655</v>
      </c>
    </row>
    <row r="4088" spans="1:6" x14ac:dyDescent="0.25">
      <c r="A4088" s="4" t="str">
        <f>CONCATENATE("3071-0000-6826","")</f>
        <v>3071-0000-6826</v>
      </c>
      <c r="B4088" s="4" t="s">
        <v>7866</v>
      </c>
      <c r="C4088" s="5">
        <v>41489</v>
      </c>
      <c r="D4088" s="5">
        <v>41549</v>
      </c>
      <c r="E4088" s="4" t="s">
        <v>1410</v>
      </c>
      <c r="F4088" s="4" t="s">
        <v>4655</v>
      </c>
    </row>
    <row r="4089" spans="1:6" x14ac:dyDescent="0.25">
      <c r="A4089" s="4" t="str">
        <f>CONCATENATE("3071-0000-2593","")</f>
        <v>3071-0000-2593</v>
      </c>
      <c r="B4089" s="4" t="s">
        <v>3234</v>
      </c>
      <c r="C4089" s="5">
        <v>41489</v>
      </c>
      <c r="D4089" s="5">
        <v>41549</v>
      </c>
      <c r="E4089" s="4" t="s">
        <v>2944</v>
      </c>
      <c r="F4089" s="4" t="s">
        <v>3164</v>
      </c>
    </row>
    <row r="4090" spans="1:6" x14ac:dyDescent="0.25">
      <c r="A4090" s="4" t="str">
        <f>CONCATENATE("3071-0000-9089","")</f>
        <v>3071-0000-9089</v>
      </c>
      <c r="B4090" s="4" t="s">
        <v>5297</v>
      </c>
      <c r="C4090" s="5">
        <v>41489</v>
      </c>
      <c r="D4090" s="5">
        <v>41549</v>
      </c>
      <c r="E4090" s="4" t="s">
        <v>5185</v>
      </c>
      <c r="F4090" s="4" t="s">
        <v>5185</v>
      </c>
    </row>
    <row r="4091" spans="1:6" x14ac:dyDescent="0.25">
      <c r="A4091" s="4" t="str">
        <f>CONCATENATE("3071-0000-3437","")</f>
        <v>3071-0000-3437</v>
      </c>
      <c r="B4091" s="4" t="s">
        <v>1720</v>
      </c>
      <c r="C4091" s="5">
        <v>41489</v>
      </c>
      <c r="D4091" s="5">
        <v>41549</v>
      </c>
      <c r="E4091" s="4" t="s">
        <v>1410</v>
      </c>
      <c r="F4091" s="4" t="s">
        <v>1411</v>
      </c>
    </row>
    <row r="4092" spans="1:6" x14ac:dyDescent="0.25">
      <c r="A4092" s="4" t="str">
        <f>CONCATENATE("3071-0000-6940","")</f>
        <v>3071-0000-6940</v>
      </c>
      <c r="B4092" s="4" t="s">
        <v>4554</v>
      </c>
      <c r="C4092" s="5">
        <v>41489</v>
      </c>
      <c r="D4092" s="5">
        <v>41549</v>
      </c>
      <c r="E4092" s="4" t="s">
        <v>1410</v>
      </c>
      <c r="F4092" s="4" t="s">
        <v>1410</v>
      </c>
    </row>
    <row r="4093" spans="1:6" x14ac:dyDescent="0.25">
      <c r="A4093" s="4" t="str">
        <f>CONCATENATE("3071-0000-6675","")</f>
        <v>3071-0000-6675</v>
      </c>
      <c r="B4093" s="4" t="s">
        <v>8028</v>
      </c>
      <c r="C4093" s="5">
        <v>41489</v>
      </c>
      <c r="D4093" s="5">
        <v>41549</v>
      </c>
      <c r="E4093" s="4" t="s">
        <v>5185</v>
      </c>
      <c r="F4093" s="4" t="s">
        <v>5185</v>
      </c>
    </row>
    <row r="4094" spans="1:6" x14ac:dyDescent="0.25">
      <c r="A4094" s="4" t="str">
        <f>CONCATENATE("3071-0000-6560","")</f>
        <v>3071-0000-6560</v>
      </c>
      <c r="B4094" s="4" t="s">
        <v>7809</v>
      </c>
      <c r="C4094" s="5">
        <v>41489</v>
      </c>
      <c r="D4094" s="5">
        <v>41549</v>
      </c>
      <c r="E4094" s="4" t="s">
        <v>5185</v>
      </c>
      <c r="F4094" s="4" t="s">
        <v>5185</v>
      </c>
    </row>
    <row r="4095" spans="1:6" x14ac:dyDescent="0.25">
      <c r="A4095" s="4" t="str">
        <f>CONCATENATE("3071-0000-2258","")</f>
        <v>3071-0000-2258</v>
      </c>
      <c r="B4095" s="4" t="s">
        <v>3760</v>
      </c>
      <c r="C4095" s="5">
        <v>41489</v>
      </c>
      <c r="D4095" s="5">
        <v>41549</v>
      </c>
      <c r="E4095" s="4" t="s">
        <v>2944</v>
      </c>
      <c r="F4095" s="4" t="s">
        <v>2945</v>
      </c>
    </row>
    <row r="4096" spans="1:6" x14ac:dyDescent="0.25">
      <c r="A4096" s="4" t="str">
        <f>CONCATENATE("3071-0000-5307","")</f>
        <v>3071-0000-5307</v>
      </c>
      <c r="B4096" s="4" t="s">
        <v>6769</v>
      </c>
      <c r="C4096" s="5">
        <v>41489</v>
      </c>
      <c r="D4096" s="5">
        <v>41549</v>
      </c>
      <c r="E4096" s="4" t="s">
        <v>5185</v>
      </c>
      <c r="F4096" s="4" t="s">
        <v>5185</v>
      </c>
    </row>
    <row r="4097" spans="1:6" x14ac:dyDescent="0.25">
      <c r="A4097" s="4" t="str">
        <f>CONCATENATE("3071-0000-9563","")</f>
        <v>3071-0000-9563</v>
      </c>
      <c r="B4097" s="4" t="s">
        <v>8405</v>
      </c>
      <c r="C4097" s="5">
        <v>41489</v>
      </c>
      <c r="D4097" s="5">
        <v>41549</v>
      </c>
      <c r="E4097" s="4" t="s">
        <v>1410</v>
      </c>
      <c r="F4097" s="4" t="s">
        <v>4459</v>
      </c>
    </row>
    <row r="4098" spans="1:6" x14ac:dyDescent="0.25">
      <c r="A4098" s="4" t="str">
        <f>CONCATENATE("3071-0000-4547","")</f>
        <v>3071-0000-4547</v>
      </c>
      <c r="B4098" s="4" t="s">
        <v>9073</v>
      </c>
      <c r="C4098" s="5">
        <v>41489</v>
      </c>
      <c r="D4098" s="5">
        <v>41549</v>
      </c>
      <c r="E4098" s="4" t="s">
        <v>1410</v>
      </c>
      <c r="F4098" s="4" t="s">
        <v>8696</v>
      </c>
    </row>
    <row r="4099" spans="1:6" x14ac:dyDescent="0.25">
      <c r="A4099" s="4" t="str">
        <f>CONCATENATE("3071-0000-4090","")</f>
        <v>3071-0000-4090</v>
      </c>
      <c r="B4099" s="4" t="s">
        <v>4036</v>
      </c>
      <c r="C4099" s="5">
        <v>41489</v>
      </c>
      <c r="D4099" s="5">
        <v>41549</v>
      </c>
      <c r="E4099" s="4" t="s">
        <v>1381</v>
      </c>
      <c r="F4099" s="4" t="s">
        <v>3994</v>
      </c>
    </row>
    <row r="4100" spans="1:6" x14ac:dyDescent="0.25">
      <c r="A4100" s="4" t="str">
        <f>CONCATENATE("3071-0000-6660","")</f>
        <v>3071-0000-6660</v>
      </c>
      <c r="B4100" s="4" t="s">
        <v>7914</v>
      </c>
      <c r="C4100" s="5">
        <v>41489</v>
      </c>
      <c r="D4100" s="5">
        <v>41549</v>
      </c>
      <c r="E4100" s="4" t="s">
        <v>5185</v>
      </c>
      <c r="F4100" s="4" t="s">
        <v>5185</v>
      </c>
    </row>
    <row r="4101" spans="1:6" x14ac:dyDescent="0.25">
      <c r="A4101" s="4" t="str">
        <f>CONCATENATE("3071-0000-1004","")</f>
        <v>3071-0000-1004</v>
      </c>
      <c r="B4101" s="4" t="s">
        <v>2068</v>
      </c>
      <c r="C4101" s="5">
        <v>41489</v>
      </c>
      <c r="D4101" s="5">
        <v>41549</v>
      </c>
      <c r="E4101" s="4" t="s">
        <v>1857</v>
      </c>
      <c r="F4101" s="4" t="s">
        <v>1857</v>
      </c>
    </row>
    <row r="4102" spans="1:6" x14ac:dyDescent="0.25">
      <c r="A4102" s="4" t="str">
        <f>CONCATENATE("3071-0000-6620","")</f>
        <v>3071-0000-6620</v>
      </c>
      <c r="B4102" s="4" t="s">
        <v>8208</v>
      </c>
      <c r="C4102" s="5">
        <v>41489</v>
      </c>
      <c r="D4102" s="5">
        <v>41549</v>
      </c>
      <c r="E4102" s="4" t="s">
        <v>5185</v>
      </c>
      <c r="F4102" s="4" t="s">
        <v>5185</v>
      </c>
    </row>
    <row r="4103" spans="1:6" x14ac:dyDescent="0.25">
      <c r="A4103" s="4" t="str">
        <f>CONCATENATE("3071-0000-6441","")</f>
        <v>3071-0000-6441</v>
      </c>
      <c r="B4103" s="4" t="s">
        <v>8153</v>
      </c>
      <c r="C4103" s="5">
        <v>41489</v>
      </c>
      <c r="D4103" s="5">
        <v>41549</v>
      </c>
      <c r="E4103" s="4" t="s">
        <v>5185</v>
      </c>
      <c r="F4103" s="4" t="s">
        <v>5185</v>
      </c>
    </row>
    <row r="4104" spans="1:6" x14ac:dyDescent="0.25">
      <c r="A4104" s="4" t="str">
        <f>CONCATENATE("3071-0000-5820","")</f>
        <v>3071-0000-5820</v>
      </c>
      <c r="B4104" s="4" t="s">
        <v>7606</v>
      </c>
      <c r="C4104" s="5">
        <v>41489</v>
      </c>
      <c r="D4104" s="5">
        <v>41549</v>
      </c>
      <c r="E4104" s="4" t="s">
        <v>5185</v>
      </c>
      <c r="F4104" s="4" t="s">
        <v>5185</v>
      </c>
    </row>
    <row r="4105" spans="1:6" x14ac:dyDescent="0.25">
      <c r="A4105" s="4" t="str">
        <f>CONCATENATE("3071-0000-9248","")</f>
        <v>3071-0000-9248</v>
      </c>
      <c r="B4105" s="4" t="s">
        <v>8290</v>
      </c>
      <c r="C4105" s="5">
        <v>41489</v>
      </c>
      <c r="D4105" s="5">
        <v>41549</v>
      </c>
      <c r="E4105" s="4" t="s">
        <v>5185</v>
      </c>
      <c r="F4105" s="4" t="s">
        <v>5185</v>
      </c>
    </row>
    <row r="4106" spans="1:6" x14ac:dyDescent="0.25">
      <c r="A4106" s="4" t="str">
        <f>CONCATENATE("3071-0000-3082","")</f>
        <v>3071-0000-3082</v>
      </c>
      <c r="B4106" s="4" t="s">
        <v>9699</v>
      </c>
      <c r="C4106" s="5">
        <v>41489</v>
      </c>
      <c r="D4106" s="5">
        <v>41549</v>
      </c>
      <c r="E4106" s="4" t="s">
        <v>7</v>
      </c>
      <c r="F4106" s="4" t="s">
        <v>812</v>
      </c>
    </row>
    <row r="4107" spans="1:6" x14ac:dyDescent="0.25">
      <c r="A4107" s="4" t="str">
        <f>CONCATENATE("3071-0000-7880","")</f>
        <v>3071-0000-7880</v>
      </c>
      <c r="B4107" s="4" t="s">
        <v>5549</v>
      </c>
      <c r="C4107" s="5">
        <v>41489</v>
      </c>
      <c r="D4107" s="5">
        <v>41549</v>
      </c>
      <c r="E4107" s="4" t="s">
        <v>5185</v>
      </c>
      <c r="F4107" s="4" t="s">
        <v>5185</v>
      </c>
    </row>
    <row r="4108" spans="1:6" x14ac:dyDescent="0.25">
      <c r="A4108" s="4" t="str">
        <f>CONCATENATE("3071-0000-6515","")</f>
        <v>3071-0000-6515</v>
      </c>
      <c r="B4108" s="4" t="s">
        <v>7934</v>
      </c>
      <c r="C4108" s="5">
        <v>41489</v>
      </c>
      <c r="D4108" s="5">
        <v>41549</v>
      </c>
      <c r="E4108" s="4" t="s">
        <v>5185</v>
      </c>
      <c r="F4108" s="4" t="s">
        <v>5185</v>
      </c>
    </row>
    <row r="4109" spans="1:6" x14ac:dyDescent="0.25">
      <c r="A4109" s="4" t="str">
        <f>CONCATENATE("3071-0000-6678","")</f>
        <v>3071-0000-6678</v>
      </c>
      <c r="B4109" s="4" t="s">
        <v>8033</v>
      </c>
      <c r="C4109" s="5">
        <v>41489</v>
      </c>
      <c r="D4109" s="5">
        <v>41549</v>
      </c>
      <c r="E4109" s="4" t="s">
        <v>5185</v>
      </c>
      <c r="F4109" s="4" t="s">
        <v>5185</v>
      </c>
    </row>
    <row r="4110" spans="1:6" x14ac:dyDescent="0.25">
      <c r="A4110" s="4" t="str">
        <f>CONCATENATE("3071-0000-6514","")</f>
        <v>3071-0000-6514</v>
      </c>
      <c r="B4110" s="4" t="s">
        <v>7933</v>
      </c>
      <c r="C4110" s="5">
        <v>41489</v>
      </c>
      <c r="D4110" s="5">
        <v>41549</v>
      </c>
      <c r="E4110" s="4" t="s">
        <v>5185</v>
      </c>
      <c r="F4110" s="4" t="s">
        <v>5185</v>
      </c>
    </row>
    <row r="4111" spans="1:6" x14ac:dyDescent="0.25">
      <c r="A4111" s="4" t="str">
        <f>CONCATENATE("3071-0000-3551","")</f>
        <v>3071-0000-3551</v>
      </c>
      <c r="B4111" s="4" t="s">
        <v>1722</v>
      </c>
      <c r="C4111" s="5">
        <v>41489</v>
      </c>
      <c r="D4111" s="5">
        <v>41549</v>
      </c>
      <c r="E4111" s="4" t="s">
        <v>1410</v>
      </c>
      <c r="F4111" s="4" t="s">
        <v>1411</v>
      </c>
    </row>
    <row r="4112" spans="1:6" x14ac:dyDescent="0.25">
      <c r="A4112" s="4" t="str">
        <f>CONCATENATE("3071-0000-4342","")</f>
        <v>3071-0000-4342</v>
      </c>
      <c r="B4112" s="4" t="s">
        <v>8765</v>
      </c>
      <c r="C4112" s="5">
        <v>41489</v>
      </c>
      <c r="D4112" s="5">
        <v>41549</v>
      </c>
      <c r="E4112" s="4" t="s">
        <v>1410</v>
      </c>
      <c r="F4112" s="4" t="s">
        <v>8696</v>
      </c>
    </row>
    <row r="4113" spans="1:6" x14ac:dyDescent="0.25">
      <c r="A4113" s="4" t="str">
        <f>CONCATENATE("3071-0000-8782","")</f>
        <v>3071-0000-8782</v>
      </c>
      <c r="B4113" s="4" t="s">
        <v>6579</v>
      </c>
      <c r="C4113" s="5">
        <v>41489</v>
      </c>
      <c r="D4113" s="5">
        <v>41549</v>
      </c>
      <c r="E4113" s="4" t="s">
        <v>5185</v>
      </c>
      <c r="F4113" s="4" t="s">
        <v>5292</v>
      </c>
    </row>
    <row r="4114" spans="1:6" x14ac:dyDescent="0.25">
      <c r="A4114" s="4" t="str">
        <f>CONCATENATE("3071-0000-2110","")</f>
        <v>3071-0000-2110</v>
      </c>
      <c r="B4114" s="4" t="s">
        <v>3507</v>
      </c>
      <c r="C4114" s="5">
        <v>41489</v>
      </c>
      <c r="D4114" s="5">
        <v>41549</v>
      </c>
      <c r="E4114" s="4" t="s">
        <v>2944</v>
      </c>
      <c r="F4114" s="4" t="s">
        <v>2945</v>
      </c>
    </row>
    <row r="4115" spans="1:6" x14ac:dyDescent="0.25">
      <c r="A4115" s="4" t="str">
        <f>CONCATENATE("3071-0000-5821","")</f>
        <v>3071-0000-5821</v>
      </c>
      <c r="B4115" s="4" t="s">
        <v>7607</v>
      </c>
      <c r="C4115" s="5">
        <v>41489</v>
      </c>
      <c r="D4115" s="5">
        <v>41549</v>
      </c>
      <c r="E4115" s="4" t="s">
        <v>5185</v>
      </c>
      <c r="F4115" s="4" t="s">
        <v>5185</v>
      </c>
    </row>
    <row r="4116" spans="1:6" x14ac:dyDescent="0.25">
      <c r="A4116" s="4" t="str">
        <f>CONCATENATE("3071-0000-7503","")</f>
        <v>3071-0000-7503</v>
      </c>
      <c r="B4116" s="4" t="s">
        <v>4524</v>
      </c>
      <c r="C4116" s="5">
        <v>41489</v>
      </c>
      <c r="D4116" s="5">
        <v>41549</v>
      </c>
      <c r="E4116" s="4" t="s">
        <v>1410</v>
      </c>
      <c r="F4116" s="4" t="s">
        <v>1410</v>
      </c>
    </row>
    <row r="4117" spans="1:6" x14ac:dyDescent="0.25">
      <c r="A4117" s="4" t="str">
        <f>CONCATENATE("3071-0000-9277","")</f>
        <v>3071-0000-9277</v>
      </c>
      <c r="B4117" s="4" t="s">
        <v>8289</v>
      </c>
      <c r="C4117" s="5">
        <v>41489</v>
      </c>
      <c r="D4117" s="5">
        <v>41549</v>
      </c>
      <c r="E4117" s="4" t="s">
        <v>5185</v>
      </c>
      <c r="F4117" s="4" t="s">
        <v>5185</v>
      </c>
    </row>
    <row r="4118" spans="1:6" x14ac:dyDescent="0.25">
      <c r="A4118" s="4" t="str">
        <f>CONCATENATE("3071-0000-6738","")</f>
        <v>3071-0000-6738</v>
      </c>
      <c r="B4118" s="4" t="s">
        <v>8144</v>
      </c>
      <c r="C4118" s="5">
        <v>41489</v>
      </c>
      <c r="D4118" s="5">
        <v>41549</v>
      </c>
      <c r="E4118" s="4" t="s">
        <v>5185</v>
      </c>
      <c r="F4118" s="4" t="s">
        <v>5185</v>
      </c>
    </row>
    <row r="4119" spans="1:6" x14ac:dyDescent="0.25">
      <c r="A4119" s="4" t="str">
        <f>CONCATENATE("3071-0000-7413","")</f>
        <v>3071-0000-7413</v>
      </c>
      <c r="B4119" s="4" t="s">
        <v>4588</v>
      </c>
      <c r="C4119" s="5">
        <v>41489</v>
      </c>
      <c r="D4119" s="5">
        <v>41549</v>
      </c>
      <c r="E4119" s="4" t="s">
        <v>1410</v>
      </c>
      <c r="F4119" s="4" t="s">
        <v>1410</v>
      </c>
    </row>
    <row r="4120" spans="1:6" x14ac:dyDescent="0.25">
      <c r="A4120" s="4" t="str">
        <f>CONCATENATE("3071-0000-9487","")</f>
        <v>3071-0000-9487</v>
      </c>
      <c r="B4120" s="4" t="s">
        <v>8554</v>
      </c>
      <c r="C4120" s="5">
        <v>41489</v>
      </c>
      <c r="D4120" s="5">
        <v>41549</v>
      </c>
      <c r="E4120" s="4" t="s">
        <v>1410</v>
      </c>
      <c r="F4120" s="4" t="s">
        <v>4459</v>
      </c>
    </row>
    <row r="4121" spans="1:6" x14ac:dyDescent="0.25">
      <c r="A4121" s="4" t="str">
        <f>CONCATENATE("3071-0000-7445","")</f>
        <v>3071-0000-7445</v>
      </c>
      <c r="B4121" s="4" t="s">
        <v>4779</v>
      </c>
      <c r="C4121" s="5">
        <v>41489</v>
      </c>
      <c r="D4121" s="5">
        <v>41549</v>
      </c>
      <c r="E4121" s="4" t="s">
        <v>1410</v>
      </c>
      <c r="F4121" s="4" t="s">
        <v>4655</v>
      </c>
    </row>
    <row r="4122" spans="1:6" x14ac:dyDescent="0.25">
      <c r="A4122" s="4" t="str">
        <f>CONCATENATE("3071-0000-9425","")</f>
        <v>3071-0000-9425</v>
      </c>
      <c r="B4122" s="4" t="s">
        <v>8412</v>
      </c>
      <c r="C4122" s="5">
        <v>41489</v>
      </c>
      <c r="D4122" s="5">
        <v>41549</v>
      </c>
      <c r="E4122" s="4" t="s">
        <v>1410</v>
      </c>
      <c r="F4122" s="4" t="s">
        <v>7967</v>
      </c>
    </row>
    <row r="4123" spans="1:6" x14ac:dyDescent="0.25">
      <c r="A4123" s="4" t="str">
        <f>CONCATENATE("3071-0000-3618","")</f>
        <v>3071-0000-3618</v>
      </c>
      <c r="B4123" s="4" t="s">
        <v>1630</v>
      </c>
      <c r="C4123" s="5">
        <v>41489</v>
      </c>
      <c r="D4123" s="5">
        <v>41549</v>
      </c>
      <c r="E4123" s="4" t="s">
        <v>1410</v>
      </c>
      <c r="F4123" s="4" t="s">
        <v>1410</v>
      </c>
    </row>
    <row r="4124" spans="1:6" x14ac:dyDescent="0.25">
      <c r="A4124" s="4" t="str">
        <f>CONCATENATE("3071-0000-9429","")</f>
        <v>3071-0000-9429</v>
      </c>
      <c r="B4124" s="4" t="s">
        <v>8407</v>
      </c>
      <c r="C4124" s="5">
        <v>41489</v>
      </c>
      <c r="D4124" s="5">
        <v>41549</v>
      </c>
      <c r="E4124" s="4" t="s">
        <v>1410</v>
      </c>
      <c r="F4124" s="4" t="s">
        <v>7967</v>
      </c>
    </row>
    <row r="4125" spans="1:6" x14ac:dyDescent="0.25">
      <c r="A4125" s="4" t="str">
        <f>CONCATENATE("3071-0000-9444","")</f>
        <v>3071-0000-9444</v>
      </c>
      <c r="B4125" s="4" t="s">
        <v>8474</v>
      </c>
      <c r="C4125" s="5">
        <v>41489</v>
      </c>
      <c r="D4125" s="5">
        <v>41549</v>
      </c>
      <c r="E4125" s="4" t="s">
        <v>1410</v>
      </c>
      <c r="F4125" s="4" t="s">
        <v>4459</v>
      </c>
    </row>
    <row r="4126" spans="1:6" x14ac:dyDescent="0.25">
      <c r="A4126" s="4" t="str">
        <f>CONCATENATE("3071-0000-3250","")</f>
        <v>3071-0000-3250</v>
      </c>
      <c r="B4126" s="4" t="s">
        <v>1017</v>
      </c>
      <c r="C4126" s="5">
        <v>41489</v>
      </c>
      <c r="D4126" s="5">
        <v>41549</v>
      </c>
      <c r="E4126" s="4" t="s">
        <v>7</v>
      </c>
      <c r="F4126" s="4" t="s">
        <v>808</v>
      </c>
    </row>
    <row r="4127" spans="1:6" x14ac:dyDescent="0.25">
      <c r="A4127" s="4" t="str">
        <f>CONCATENATE("3071-0000-6649","")</f>
        <v>3071-0000-6649</v>
      </c>
      <c r="B4127" s="4" t="s">
        <v>7976</v>
      </c>
      <c r="C4127" s="5">
        <v>41489</v>
      </c>
      <c r="D4127" s="5">
        <v>41549</v>
      </c>
      <c r="E4127" s="4" t="s">
        <v>5185</v>
      </c>
      <c r="F4127" s="4" t="s">
        <v>5185</v>
      </c>
    </row>
    <row r="4128" spans="1:6" x14ac:dyDescent="0.25">
      <c r="A4128" s="4" t="str">
        <f>CONCATENATE("3071-0000-7429","")</f>
        <v>3071-0000-7429</v>
      </c>
      <c r="B4128" s="4" t="s">
        <v>4641</v>
      </c>
      <c r="C4128" s="5">
        <v>41489</v>
      </c>
      <c r="D4128" s="5">
        <v>41549</v>
      </c>
      <c r="E4128" s="4" t="s">
        <v>1410</v>
      </c>
      <c r="F4128" s="4" t="s">
        <v>1410</v>
      </c>
    </row>
    <row r="4129" spans="1:6" x14ac:dyDescent="0.25">
      <c r="A4129" s="4" t="str">
        <f>CONCATENATE("3071-0000-9393","")</f>
        <v>3071-0000-9393</v>
      </c>
      <c r="B4129" s="4" t="s">
        <v>8384</v>
      </c>
      <c r="C4129" s="5">
        <v>41489</v>
      </c>
      <c r="D4129" s="5">
        <v>41549</v>
      </c>
      <c r="E4129" s="4" t="s">
        <v>1410</v>
      </c>
      <c r="F4129" s="4" t="s">
        <v>4459</v>
      </c>
    </row>
    <row r="4130" spans="1:6" x14ac:dyDescent="0.25">
      <c r="A4130" s="4" t="str">
        <f>CONCATENATE("3071-0000-9077","")</f>
        <v>3071-0000-9077</v>
      </c>
      <c r="B4130" s="4" t="s">
        <v>5253</v>
      </c>
      <c r="C4130" s="5">
        <v>41489</v>
      </c>
      <c r="D4130" s="5">
        <v>41549</v>
      </c>
      <c r="E4130" s="4" t="s">
        <v>5185</v>
      </c>
      <c r="F4130" s="4" t="s">
        <v>5250</v>
      </c>
    </row>
    <row r="4131" spans="1:6" x14ac:dyDescent="0.25">
      <c r="A4131" s="4" t="str">
        <f>CONCATENATE("3071-0000-8942","")</f>
        <v>3071-0000-8942</v>
      </c>
      <c r="B4131" s="4" t="s">
        <v>6277</v>
      </c>
      <c r="C4131" s="5">
        <v>41489</v>
      </c>
      <c r="D4131" s="5">
        <v>41549</v>
      </c>
      <c r="E4131" s="4" t="s">
        <v>5185</v>
      </c>
      <c r="F4131" s="4" t="s">
        <v>6181</v>
      </c>
    </row>
    <row r="4132" spans="1:6" x14ac:dyDescent="0.25">
      <c r="A4132" s="4" t="str">
        <f>CONCATENATE("3071-0000-2673","")</f>
        <v>3071-0000-2673</v>
      </c>
      <c r="B4132" s="4" t="s">
        <v>3430</v>
      </c>
      <c r="C4132" s="5">
        <v>41489</v>
      </c>
      <c r="D4132" s="5">
        <v>41549</v>
      </c>
      <c r="E4132" s="4" t="s">
        <v>1857</v>
      </c>
      <c r="F4132" s="4" t="s">
        <v>3306</v>
      </c>
    </row>
    <row r="4133" spans="1:6" x14ac:dyDescent="0.25">
      <c r="A4133" s="4" t="str">
        <f>CONCATENATE("3071-0000-2388","")</f>
        <v>3071-0000-2388</v>
      </c>
      <c r="B4133" s="4" t="s">
        <v>3427</v>
      </c>
      <c r="C4133" s="5">
        <v>41489</v>
      </c>
      <c r="D4133" s="5">
        <v>41549</v>
      </c>
      <c r="E4133" s="4" t="s">
        <v>2944</v>
      </c>
      <c r="F4133" s="4" t="s">
        <v>2945</v>
      </c>
    </row>
    <row r="4134" spans="1:6" x14ac:dyDescent="0.25">
      <c r="A4134" s="4" t="str">
        <f>CONCATENATE("3071-0000-2671","")</f>
        <v>3071-0000-2671</v>
      </c>
      <c r="B4134" s="4" t="s">
        <v>3386</v>
      </c>
      <c r="C4134" s="5">
        <v>41489</v>
      </c>
      <c r="D4134" s="5">
        <v>41549</v>
      </c>
      <c r="E4134" s="4" t="s">
        <v>1857</v>
      </c>
      <c r="F4134" s="4" t="s">
        <v>3306</v>
      </c>
    </row>
    <row r="4135" spans="1:6" x14ac:dyDescent="0.25">
      <c r="A4135" s="4" t="str">
        <f>CONCATENATE("3071-0000-2669","")</f>
        <v>3071-0000-2669</v>
      </c>
      <c r="B4135" s="4" t="s">
        <v>3374</v>
      </c>
      <c r="C4135" s="5">
        <v>41489</v>
      </c>
      <c r="D4135" s="5">
        <v>41549</v>
      </c>
      <c r="E4135" s="4" t="s">
        <v>1857</v>
      </c>
      <c r="F4135" s="4" t="s">
        <v>3306</v>
      </c>
    </row>
    <row r="4136" spans="1:6" x14ac:dyDescent="0.25">
      <c r="A4136" s="4" t="str">
        <f>CONCATENATE("3071-0000-0809","")</f>
        <v>3071-0000-0809</v>
      </c>
      <c r="B4136" s="4" t="s">
        <v>1865</v>
      </c>
      <c r="C4136" s="5">
        <v>41489</v>
      </c>
      <c r="D4136" s="5">
        <v>41549</v>
      </c>
      <c r="E4136" s="4" t="s">
        <v>1857</v>
      </c>
      <c r="F4136" s="4" t="s">
        <v>1857</v>
      </c>
    </row>
    <row r="4137" spans="1:6" x14ac:dyDescent="0.25">
      <c r="A4137" s="4" t="str">
        <f>CONCATENATE("3071-0000-0909","")</f>
        <v>3071-0000-0909</v>
      </c>
      <c r="B4137" s="4" t="s">
        <v>1904</v>
      </c>
      <c r="C4137" s="5">
        <v>41489</v>
      </c>
      <c r="D4137" s="5">
        <v>41549</v>
      </c>
      <c r="E4137" s="4" t="s">
        <v>1857</v>
      </c>
      <c r="F4137" s="4" t="s">
        <v>1857</v>
      </c>
    </row>
    <row r="4138" spans="1:6" x14ac:dyDescent="0.25">
      <c r="A4138" s="4" t="str">
        <f>CONCATENATE("3071-0000-2643","")</f>
        <v>3071-0000-2643</v>
      </c>
      <c r="B4138" s="4" t="s">
        <v>3397</v>
      </c>
      <c r="C4138" s="5">
        <v>41489</v>
      </c>
      <c r="D4138" s="5">
        <v>41549</v>
      </c>
      <c r="E4138" s="4" t="s">
        <v>1857</v>
      </c>
      <c r="F4138" s="4" t="s">
        <v>3306</v>
      </c>
    </row>
    <row r="4139" spans="1:6" x14ac:dyDescent="0.25">
      <c r="A4139" s="4" t="str">
        <f>CONCATENATE("3071-0000-0339","")</f>
        <v>3071-0000-0339</v>
      </c>
      <c r="B4139" s="4" t="s">
        <v>166</v>
      </c>
      <c r="C4139" s="5">
        <v>41489</v>
      </c>
      <c r="D4139" s="5">
        <v>41549</v>
      </c>
      <c r="E4139" s="4" t="s">
        <v>7</v>
      </c>
      <c r="F4139" s="4" t="s">
        <v>7</v>
      </c>
    </row>
    <row r="4140" spans="1:6" x14ac:dyDescent="0.25">
      <c r="A4140" s="4" t="str">
        <f>CONCATENATE("3071-0000-2324","")</f>
        <v>3071-0000-2324</v>
      </c>
      <c r="B4140" s="4" t="s">
        <v>3807</v>
      </c>
      <c r="C4140" s="5">
        <v>41489</v>
      </c>
      <c r="D4140" s="5">
        <v>41549</v>
      </c>
      <c r="E4140" s="4" t="s">
        <v>2944</v>
      </c>
      <c r="F4140" s="4" t="s">
        <v>2945</v>
      </c>
    </row>
    <row r="4141" spans="1:6" x14ac:dyDescent="0.25">
      <c r="A4141" s="4" t="str">
        <f>CONCATENATE("3071-0000-3782","")</f>
        <v>3071-0000-3782</v>
      </c>
      <c r="B4141" s="4" t="s">
        <v>3823</v>
      </c>
      <c r="C4141" s="5">
        <v>41489</v>
      </c>
      <c r="D4141" s="5">
        <v>41549</v>
      </c>
      <c r="E4141" s="4" t="s">
        <v>7</v>
      </c>
      <c r="F4141" s="4" t="s">
        <v>3818</v>
      </c>
    </row>
    <row r="4142" spans="1:6" x14ac:dyDescent="0.25">
      <c r="A4142" s="4" t="str">
        <f>CONCATENATE("3071-0000-4082","")</f>
        <v>3071-0000-4082</v>
      </c>
      <c r="B4142" s="4" t="s">
        <v>4015</v>
      </c>
      <c r="C4142" s="5">
        <v>41489</v>
      </c>
      <c r="D4142" s="5">
        <v>41549</v>
      </c>
      <c r="E4142" s="4" t="s">
        <v>1381</v>
      </c>
      <c r="F4142" s="4" t="s">
        <v>3994</v>
      </c>
    </row>
    <row r="4143" spans="1:6" x14ac:dyDescent="0.25">
      <c r="A4143" s="4" t="str">
        <f>CONCATENATE("3071-0000-1267","")</f>
        <v>3071-0000-1267</v>
      </c>
      <c r="B4143" s="4" t="s">
        <v>2362</v>
      </c>
      <c r="C4143" s="5">
        <v>41489</v>
      </c>
      <c r="D4143" s="5">
        <v>41549</v>
      </c>
      <c r="E4143" s="4" t="s">
        <v>1381</v>
      </c>
      <c r="F4143" s="4" t="s">
        <v>2303</v>
      </c>
    </row>
    <row r="4144" spans="1:6" x14ac:dyDescent="0.25">
      <c r="A4144" s="4" t="str">
        <f>CONCATENATE("3071-0000-3991","")</f>
        <v>3071-0000-3991</v>
      </c>
      <c r="B4144" s="4" t="s">
        <v>4094</v>
      </c>
      <c r="C4144" s="5">
        <v>41489</v>
      </c>
      <c r="D4144" s="5">
        <v>41549</v>
      </c>
      <c r="E4144" s="4" t="s">
        <v>2944</v>
      </c>
      <c r="F4144" s="4" t="s">
        <v>3513</v>
      </c>
    </row>
    <row r="4145" spans="1:6" x14ac:dyDescent="0.25">
      <c r="A4145" s="4" t="str">
        <f>CONCATENATE("3071-0000-1941","")</f>
        <v>3071-0000-1941</v>
      </c>
      <c r="B4145" s="4" t="s">
        <v>3044</v>
      </c>
      <c r="C4145" s="5">
        <v>41489</v>
      </c>
      <c r="D4145" s="5">
        <v>41549</v>
      </c>
      <c r="E4145" s="4" t="s">
        <v>2944</v>
      </c>
      <c r="F4145" s="4" t="s">
        <v>2945</v>
      </c>
    </row>
    <row r="4146" spans="1:6" x14ac:dyDescent="0.25">
      <c r="A4146" s="4" t="str">
        <f>CONCATENATE("3071-0000-2361","")</f>
        <v>3071-0000-2361</v>
      </c>
      <c r="B4146" s="4" t="s">
        <v>3399</v>
      </c>
      <c r="C4146" s="5">
        <v>41489</v>
      </c>
      <c r="D4146" s="5">
        <v>41549</v>
      </c>
      <c r="E4146" s="4" t="s">
        <v>2944</v>
      </c>
      <c r="F4146" s="4" t="s">
        <v>2945</v>
      </c>
    </row>
    <row r="4147" spans="1:6" x14ac:dyDescent="0.25">
      <c r="A4147" s="4" t="str">
        <f>CONCATENATE("3071-0000-4675","")</f>
        <v>3071-0000-4675</v>
      </c>
      <c r="B4147" s="4" t="s">
        <v>9187</v>
      </c>
      <c r="C4147" s="5">
        <v>41489</v>
      </c>
      <c r="D4147" s="5">
        <v>41549</v>
      </c>
      <c r="E4147" s="4" t="s">
        <v>1410</v>
      </c>
      <c r="F4147" s="4" t="s">
        <v>8696</v>
      </c>
    </row>
    <row r="4148" spans="1:6" x14ac:dyDescent="0.25">
      <c r="A4148" s="4" t="str">
        <f>CONCATENATE("3071-0000-1260","")</f>
        <v>3071-0000-1260</v>
      </c>
      <c r="B4148" s="4" t="s">
        <v>2352</v>
      </c>
      <c r="C4148" s="5">
        <v>41489</v>
      </c>
      <c r="D4148" s="5">
        <v>41549</v>
      </c>
      <c r="E4148" s="4" t="s">
        <v>1381</v>
      </c>
      <c r="F4148" s="4" t="s">
        <v>2303</v>
      </c>
    </row>
    <row r="4149" spans="1:6" x14ac:dyDescent="0.25">
      <c r="A4149" s="4" t="str">
        <f>CONCATENATE("3071-0000-2392","")</f>
        <v>3071-0000-2392</v>
      </c>
      <c r="B4149" s="4" t="s">
        <v>3647</v>
      </c>
      <c r="C4149" s="5">
        <v>41489</v>
      </c>
      <c r="D4149" s="5">
        <v>41549</v>
      </c>
      <c r="E4149" s="4" t="s">
        <v>2944</v>
      </c>
      <c r="F4149" s="4" t="s">
        <v>3164</v>
      </c>
    </row>
    <row r="4150" spans="1:6" x14ac:dyDescent="0.25">
      <c r="A4150" s="4" t="str">
        <f>CONCATENATE("3071-0000-0226","")</f>
        <v>3071-0000-0226</v>
      </c>
      <c r="B4150" s="4" t="s">
        <v>476</v>
      </c>
      <c r="C4150" s="5">
        <v>41489</v>
      </c>
      <c r="D4150" s="5">
        <v>41549</v>
      </c>
      <c r="E4150" s="4" t="s">
        <v>7</v>
      </c>
      <c r="F4150" s="4" t="s">
        <v>7</v>
      </c>
    </row>
    <row r="4151" spans="1:6" x14ac:dyDescent="0.25">
      <c r="A4151" s="4" t="str">
        <f>CONCATENATE("3071-0000-1754","")</f>
        <v>3071-0000-1754</v>
      </c>
      <c r="B4151" s="4" t="s">
        <v>2351</v>
      </c>
      <c r="C4151" s="5">
        <v>41489</v>
      </c>
      <c r="D4151" s="5">
        <v>41549</v>
      </c>
      <c r="E4151" s="4" t="s">
        <v>1381</v>
      </c>
      <c r="F4151" s="4" t="s">
        <v>2319</v>
      </c>
    </row>
    <row r="4152" spans="1:6" x14ac:dyDescent="0.25">
      <c r="A4152" s="4" t="str">
        <f>CONCATENATE("3071-0000-5774","")</f>
        <v>3071-0000-5774</v>
      </c>
      <c r="B4152" s="4" t="s">
        <v>7008</v>
      </c>
      <c r="C4152" s="5">
        <v>41489</v>
      </c>
      <c r="D4152" s="5">
        <v>41549</v>
      </c>
      <c r="E4152" s="4" t="s">
        <v>5185</v>
      </c>
      <c r="F4152" s="4" t="s">
        <v>5185</v>
      </c>
    </row>
    <row r="4153" spans="1:6" x14ac:dyDescent="0.25">
      <c r="A4153" s="4" t="str">
        <f>CONCATENATE("3071-0000-3031","")</f>
        <v>3071-0000-3031</v>
      </c>
      <c r="B4153" s="4" t="s">
        <v>1118</v>
      </c>
      <c r="C4153" s="5">
        <v>41489</v>
      </c>
      <c r="D4153" s="5">
        <v>41549</v>
      </c>
      <c r="E4153" s="4" t="s">
        <v>7</v>
      </c>
      <c r="F4153" s="4" t="s">
        <v>808</v>
      </c>
    </row>
    <row r="4154" spans="1:6" x14ac:dyDescent="0.25">
      <c r="A4154" s="4" t="str">
        <f>CONCATENATE("3071-0000-4343","")</f>
        <v>3071-0000-4343</v>
      </c>
      <c r="B4154" s="4" t="s">
        <v>8766</v>
      </c>
      <c r="C4154" s="5">
        <v>41489</v>
      </c>
      <c r="D4154" s="5">
        <v>41549</v>
      </c>
      <c r="E4154" s="4" t="s">
        <v>1410</v>
      </c>
      <c r="F4154" s="4" t="s">
        <v>8696</v>
      </c>
    </row>
    <row r="4155" spans="1:6" x14ac:dyDescent="0.25">
      <c r="A4155" s="4" t="str">
        <f>CONCATENATE("3071-0000-4914","")</f>
        <v>3071-0000-4914</v>
      </c>
      <c r="B4155" s="4" t="s">
        <v>8790</v>
      </c>
      <c r="C4155" s="5">
        <v>41489</v>
      </c>
      <c r="D4155" s="5">
        <v>41549</v>
      </c>
      <c r="E4155" s="4" t="s">
        <v>7069</v>
      </c>
      <c r="F4155" s="4" t="s">
        <v>8783</v>
      </c>
    </row>
    <row r="4156" spans="1:6" x14ac:dyDescent="0.25">
      <c r="A4156" s="4" t="str">
        <f>CONCATENATE("3071-0000-0643","")</f>
        <v>3071-0000-0643</v>
      </c>
      <c r="B4156" s="4" t="s">
        <v>170</v>
      </c>
      <c r="C4156" s="5">
        <v>41489</v>
      </c>
      <c r="D4156" s="5">
        <v>41549</v>
      </c>
      <c r="E4156" s="4" t="s">
        <v>7</v>
      </c>
      <c r="F4156" s="4" t="s">
        <v>7</v>
      </c>
    </row>
    <row r="4157" spans="1:6" x14ac:dyDescent="0.25">
      <c r="A4157" s="4" t="str">
        <f>CONCATENATE("3071-0000-4329","")</f>
        <v>3071-0000-4329</v>
      </c>
      <c r="B4157" s="4" t="s">
        <v>8771</v>
      </c>
      <c r="C4157" s="5">
        <v>41489</v>
      </c>
      <c r="D4157" s="5">
        <v>41549</v>
      </c>
      <c r="E4157" s="4" t="s">
        <v>1410</v>
      </c>
      <c r="F4157" s="4" t="s">
        <v>8696</v>
      </c>
    </row>
    <row r="4158" spans="1:6" x14ac:dyDescent="0.25">
      <c r="A4158" s="4" t="str">
        <f>CONCATENATE("3071-0000-8114","")</f>
        <v>3071-0000-8114</v>
      </c>
      <c r="B4158" s="4" t="s">
        <v>6001</v>
      </c>
      <c r="C4158" s="5">
        <v>41489</v>
      </c>
      <c r="D4158" s="5">
        <v>41549</v>
      </c>
      <c r="E4158" s="4" t="s">
        <v>5185</v>
      </c>
      <c r="F4158" s="4" t="s">
        <v>5185</v>
      </c>
    </row>
    <row r="4159" spans="1:6" x14ac:dyDescent="0.25">
      <c r="A4159" s="4" t="str">
        <f>CONCATENATE("3071-0000-2608","")</f>
        <v>3071-0000-2608</v>
      </c>
      <c r="B4159" s="4" t="s">
        <v>3686</v>
      </c>
      <c r="C4159" s="5">
        <v>41489</v>
      </c>
      <c r="D4159" s="5">
        <v>41549</v>
      </c>
      <c r="E4159" s="4" t="s">
        <v>2944</v>
      </c>
      <c r="F4159" s="4" t="s">
        <v>3164</v>
      </c>
    </row>
    <row r="4160" spans="1:6" x14ac:dyDescent="0.25">
      <c r="A4160" s="4" t="str">
        <f>CONCATENATE("3071-0000-2202","")</f>
        <v>3071-0000-2202</v>
      </c>
      <c r="B4160" s="4" t="s">
        <v>3448</v>
      </c>
      <c r="C4160" s="5">
        <v>41489</v>
      </c>
      <c r="D4160" s="5">
        <v>41549</v>
      </c>
      <c r="E4160" s="4" t="s">
        <v>2944</v>
      </c>
      <c r="F4160" s="4" t="s">
        <v>2945</v>
      </c>
    </row>
    <row r="4161" spans="1:6" x14ac:dyDescent="0.25">
      <c r="A4161" s="4" t="str">
        <f>CONCATENATE("3071-0000-2621","")</f>
        <v>3071-0000-2621</v>
      </c>
      <c r="B4161" s="4" t="s">
        <v>3544</v>
      </c>
      <c r="C4161" s="5">
        <v>41489</v>
      </c>
      <c r="D4161" s="5">
        <v>41549</v>
      </c>
      <c r="E4161" s="4" t="s">
        <v>2944</v>
      </c>
      <c r="F4161" s="4" t="s">
        <v>3515</v>
      </c>
    </row>
    <row r="4162" spans="1:6" x14ac:dyDescent="0.25">
      <c r="A4162" s="4" t="str">
        <f>CONCATENATE("3071-0000-1846","")</f>
        <v>3071-0000-1846</v>
      </c>
      <c r="B4162" s="4" t="s">
        <v>2364</v>
      </c>
      <c r="C4162" s="5">
        <v>41489</v>
      </c>
      <c r="D4162" s="5">
        <v>41549</v>
      </c>
      <c r="E4162" s="4" t="s">
        <v>1381</v>
      </c>
      <c r="F4162" s="4" t="s">
        <v>2319</v>
      </c>
    </row>
    <row r="4163" spans="1:6" x14ac:dyDescent="0.25">
      <c r="A4163" s="4" t="str">
        <f>CONCATENATE("3071-0000-1257","")</f>
        <v>3071-0000-1257</v>
      </c>
      <c r="B4163" s="4" t="s">
        <v>2347</v>
      </c>
      <c r="C4163" s="5">
        <v>41489</v>
      </c>
      <c r="D4163" s="5">
        <v>41549</v>
      </c>
      <c r="E4163" s="4" t="s">
        <v>1381</v>
      </c>
      <c r="F4163" s="4" t="s">
        <v>2303</v>
      </c>
    </row>
    <row r="4164" spans="1:6" x14ac:dyDescent="0.25">
      <c r="A4164" s="4" t="str">
        <f>CONCATENATE("3071-0000-4124","")</f>
        <v>3071-0000-4124</v>
      </c>
      <c r="B4164" s="4" t="s">
        <v>4262</v>
      </c>
      <c r="C4164" s="5">
        <v>41489</v>
      </c>
      <c r="D4164" s="5">
        <v>41549</v>
      </c>
      <c r="E4164" s="4" t="s">
        <v>7</v>
      </c>
      <c r="F4164" s="4" t="s">
        <v>1419</v>
      </c>
    </row>
    <row r="4165" spans="1:6" x14ac:dyDescent="0.25">
      <c r="A4165" s="4" t="str">
        <f>CONCATENATE("3071-0000-1828","")</f>
        <v>3071-0000-1828</v>
      </c>
      <c r="B4165" s="4" t="s">
        <v>2498</v>
      </c>
      <c r="C4165" s="5">
        <v>41489</v>
      </c>
      <c r="D4165" s="5">
        <v>41549</v>
      </c>
      <c r="E4165" s="4" t="s">
        <v>1381</v>
      </c>
      <c r="F4165" s="4" t="s">
        <v>2303</v>
      </c>
    </row>
    <row r="4166" spans="1:6" x14ac:dyDescent="0.25">
      <c r="A4166" s="4" t="str">
        <f>CONCATENATE("3071-0000-1270","")</f>
        <v>3071-0000-1270</v>
      </c>
      <c r="B4166" s="4" t="s">
        <v>2368</v>
      </c>
      <c r="C4166" s="5">
        <v>41489</v>
      </c>
      <c r="D4166" s="5">
        <v>41549</v>
      </c>
      <c r="E4166" s="4" t="s">
        <v>1381</v>
      </c>
      <c r="F4166" s="4" t="s">
        <v>2303</v>
      </c>
    </row>
    <row r="4167" spans="1:6" x14ac:dyDescent="0.25">
      <c r="A4167" s="4" t="str">
        <f>CONCATENATE("3071-0000-1862","")</f>
        <v>3071-0000-1862</v>
      </c>
      <c r="B4167" s="4" t="s">
        <v>2327</v>
      </c>
      <c r="C4167" s="5">
        <v>41489</v>
      </c>
      <c r="D4167" s="5">
        <v>41549</v>
      </c>
      <c r="E4167" s="4" t="s">
        <v>1381</v>
      </c>
      <c r="F4167" s="4" t="s">
        <v>2319</v>
      </c>
    </row>
    <row r="4168" spans="1:6" x14ac:dyDescent="0.25">
      <c r="A4168" s="4" t="str">
        <f>CONCATENATE("3071-0000-2030","")</f>
        <v>3071-0000-2030</v>
      </c>
      <c r="B4168" s="4" t="s">
        <v>3330</v>
      </c>
      <c r="C4168" s="5">
        <v>41489</v>
      </c>
      <c r="D4168" s="5">
        <v>41549</v>
      </c>
      <c r="E4168" s="4" t="s">
        <v>2944</v>
      </c>
      <c r="F4168" s="4" t="s">
        <v>2945</v>
      </c>
    </row>
    <row r="4169" spans="1:6" x14ac:dyDescent="0.25">
      <c r="A4169" s="4" t="str">
        <f>CONCATENATE("3071-0000-7561","")</f>
        <v>3071-0000-7561</v>
      </c>
      <c r="B4169" s="4" t="s">
        <v>5119</v>
      </c>
      <c r="C4169" s="5">
        <v>41489</v>
      </c>
      <c r="D4169" s="5">
        <v>41549</v>
      </c>
      <c r="E4169" s="4" t="s">
        <v>1410</v>
      </c>
      <c r="F4169" s="4" t="s">
        <v>4616</v>
      </c>
    </row>
    <row r="4170" spans="1:6" x14ac:dyDescent="0.25">
      <c r="A4170" s="4" t="str">
        <f>CONCATENATE("3071-0000-4831","")</f>
        <v>3071-0000-4831</v>
      </c>
      <c r="B4170" s="4" t="s">
        <v>9293</v>
      </c>
      <c r="C4170" s="5">
        <v>41489</v>
      </c>
      <c r="D4170" s="5">
        <v>41549</v>
      </c>
      <c r="E4170" s="4" t="s">
        <v>1410</v>
      </c>
      <c r="F4170" s="4" t="s">
        <v>8696</v>
      </c>
    </row>
    <row r="4171" spans="1:6" x14ac:dyDescent="0.25">
      <c r="A4171" s="4" t="str">
        <f>CONCATENATE("3071-0000-1775","")</f>
        <v>3071-0000-1775</v>
      </c>
      <c r="B4171" s="4" t="s">
        <v>2501</v>
      </c>
      <c r="C4171" s="5">
        <v>41489</v>
      </c>
      <c r="D4171" s="5">
        <v>41549</v>
      </c>
      <c r="E4171" s="4" t="s">
        <v>1381</v>
      </c>
      <c r="F4171" s="4" t="s">
        <v>2303</v>
      </c>
    </row>
    <row r="4172" spans="1:6" x14ac:dyDescent="0.25">
      <c r="A4172" s="4" t="str">
        <f>CONCATENATE("3071-0000-7451","")</f>
        <v>3071-0000-7451</v>
      </c>
      <c r="B4172" s="4" t="s">
        <v>4334</v>
      </c>
      <c r="C4172" s="5">
        <v>41489</v>
      </c>
      <c r="D4172" s="5">
        <v>41549</v>
      </c>
      <c r="E4172" s="4" t="s">
        <v>1410</v>
      </c>
      <c r="F4172" s="4" t="s">
        <v>1410</v>
      </c>
    </row>
    <row r="4173" spans="1:6" x14ac:dyDescent="0.25">
      <c r="A4173" s="4" t="str">
        <f>CONCATENATE("3071-0000-1413","")</f>
        <v>3071-0000-1413</v>
      </c>
      <c r="B4173" s="4" t="s">
        <v>2637</v>
      </c>
      <c r="C4173" s="5">
        <v>41489</v>
      </c>
      <c r="D4173" s="5">
        <v>41549</v>
      </c>
      <c r="E4173" s="4" t="s">
        <v>1381</v>
      </c>
      <c r="F4173" s="4" t="s">
        <v>2303</v>
      </c>
    </row>
    <row r="4174" spans="1:6" x14ac:dyDescent="0.25">
      <c r="A4174" s="4" t="str">
        <f>CONCATENATE("3071-0000-1448","")</f>
        <v>3071-0000-1448</v>
      </c>
      <c r="B4174" s="4" t="s">
        <v>2686</v>
      </c>
      <c r="C4174" s="5">
        <v>41489</v>
      </c>
      <c r="D4174" s="5">
        <v>41549</v>
      </c>
      <c r="E4174" s="4" t="s">
        <v>1381</v>
      </c>
      <c r="F4174" s="4" t="s">
        <v>2303</v>
      </c>
    </row>
    <row r="4175" spans="1:6" x14ac:dyDescent="0.25">
      <c r="A4175" s="4" t="str">
        <f>CONCATENATE("3071-0000-1747","")</f>
        <v>3071-0000-1747</v>
      </c>
      <c r="B4175" s="4" t="s">
        <v>2735</v>
      </c>
      <c r="C4175" s="5">
        <v>41489</v>
      </c>
      <c r="D4175" s="5">
        <v>41549</v>
      </c>
      <c r="E4175" s="4" t="s">
        <v>1381</v>
      </c>
      <c r="F4175" s="4" t="s">
        <v>2662</v>
      </c>
    </row>
    <row r="4176" spans="1:6" x14ac:dyDescent="0.25">
      <c r="A4176" s="4" t="str">
        <f>CONCATENATE("3071-0000-1740","")</f>
        <v>3071-0000-1740</v>
      </c>
      <c r="B4176" s="4" t="s">
        <v>2733</v>
      </c>
      <c r="C4176" s="5">
        <v>41489</v>
      </c>
      <c r="D4176" s="5">
        <v>41549</v>
      </c>
      <c r="E4176" s="4" t="s">
        <v>1381</v>
      </c>
      <c r="F4176" s="4" t="s">
        <v>2662</v>
      </c>
    </row>
    <row r="4177" spans="1:6" x14ac:dyDescent="0.25">
      <c r="A4177" s="4" t="str">
        <f>CONCATENATE("3071-0000-7391","")</f>
        <v>3071-0000-7391</v>
      </c>
      <c r="B4177" s="4" t="s">
        <v>4375</v>
      </c>
      <c r="C4177" s="5">
        <v>41489</v>
      </c>
      <c r="D4177" s="5">
        <v>41549</v>
      </c>
      <c r="E4177" s="4" t="s">
        <v>1410</v>
      </c>
      <c r="F4177" s="4" t="s">
        <v>1410</v>
      </c>
    </row>
    <row r="4178" spans="1:6" x14ac:dyDescent="0.25">
      <c r="A4178" s="4" t="str">
        <f>CONCATENATE("3071-0000-1865","")</f>
        <v>3071-0000-1865</v>
      </c>
      <c r="B4178" s="4" t="s">
        <v>2774</v>
      </c>
      <c r="C4178" s="5">
        <v>41489</v>
      </c>
      <c r="D4178" s="5">
        <v>41549</v>
      </c>
      <c r="E4178" s="4" t="s">
        <v>1381</v>
      </c>
      <c r="F4178" s="4" t="s">
        <v>1382</v>
      </c>
    </row>
    <row r="4179" spans="1:6" x14ac:dyDescent="0.25">
      <c r="A4179" s="4" t="str">
        <f>CONCATENATE("3071-0000-4289","")</f>
        <v>3071-0000-4289</v>
      </c>
      <c r="B4179" s="4" t="s">
        <v>8894</v>
      </c>
      <c r="C4179" s="5">
        <v>41489</v>
      </c>
      <c r="D4179" s="5">
        <v>41549</v>
      </c>
      <c r="E4179" s="4" t="s">
        <v>1410</v>
      </c>
      <c r="F4179" s="4" t="s">
        <v>8696</v>
      </c>
    </row>
    <row r="4180" spans="1:6" x14ac:dyDescent="0.25">
      <c r="A4180" s="4" t="str">
        <f>CONCATENATE("3071-0000-6090","")</f>
        <v>3071-0000-6090</v>
      </c>
      <c r="B4180" s="4" t="s">
        <v>7009</v>
      </c>
      <c r="C4180" s="5">
        <v>41489</v>
      </c>
      <c r="D4180" s="5">
        <v>41549</v>
      </c>
      <c r="E4180" s="4" t="s">
        <v>1410</v>
      </c>
      <c r="F4180" s="4" t="s">
        <v>6798</v>
      </c>
    </row>
    <row r="4181" spans="1:6" x14ac:dyDescent="0.25">
      <c r="A4181" s="4" t="str">
        <f>CONCATENATE("3071-0000-4560","")</f>
        <v>3071-0000-4560</v>
      </c>
      <c r="B4181" s="4" t="s">
        <v>9088</v>
      </c>
      <c r="C4181" s="5">
        <v>41489</v>
      </c>
      <c r="D4181" s="5">
        <v>41549</v>
      </c>
      <c r="E4181" s="4" t="s">
        <v>1410</v>
      </c>
      <c r="F4181" s="4" t="s">
        <v>8696</v>
      </c>
    </row>
    <row r="4182" spans="1:6" x14ac:dyDescent="0.25">
      <c r="A4182" s="4" t="str">
        <f>CONCATENATE("3071-0000-4682","")</f>
        <v>3071-0000-4682</v>
      </c>
      <c r="B4182" s="4" t="s">
        <v>9195</v>
      </c>
      <c r="C4182" s="5">
        <v>41489</v>
      </c>
      <c r="D4182" s="5">
        <v>41549</v>
      </c>
      <c r="E4182" s="4" t="s">
        <v>1410</v>
      </c>
      <c r="F4182" s="4" t="s">
        <v>8696</v>
      </c>
    </row>
    <row r="4183" spans="1:6" x14ac:dyDescent="0.25">
      <c r="A4183" s="4" t="str">
        <f>CONCATENATE("3071-0000-4973","")</f>
        <v>3071-0000-4973</v>
      </c>
      <c r="B4183" s="4" t="s">
        <v>9591</v>
      </c>
      <c r="C4183" s="5">
        <v>41489</v>
      </c>
      <c r="D4183" s="5">
        <v>41549</v>
      </c>
      <c r="E4183" s="4" t="s">
        <v>7069</v>
      </c>
      <c r="F4183" s="4" t="s">
        <v>9485</v>
      </c>
    </row>
    <row r="4184" spans="1:6" x14ac:dyDescent="0.25">
      <c r="A4184" s="4" t="str">
        <f>CONCATENATE("3071-0000-4549","")</f>
        <v>3071-0000-4549</v>
      </c>
      <c r="B4184" s="4" t="s">
        <v>9075</v>
      </c>
      <c r="C4184" s="5">
        <v>41489</v>
      </c>
      <c r="D4184" s="5">
        <v>41549</v>
      </c>
      <c r="E4184" s="4" t="s">
        <v>1410</v>
      </c>
      <c r="F4184" s="4" t="s">
        <v>8696</v>
      </c>
    </row>
    <row r="4185" spans="1:6" x14ac:dyDescent="0.25">
      <c r="A4185" s="4" t="str">
        <f>CONCATENATE("3071-0000-1844","")</f>
        <v>3071-0000-1844</v>
      </c>
      <c r="B4185" s="4" t="s">
        <v>2885</v>
      </c>
      <c r="C4185" s="5">
        <v>41489</v>
      </c>
      <c r="D4185" s="5">
        <v>41549</v>
      </c>
      <c r="E4185" s="4" t="s">
        <v>1381</v>
      </c>
      <c r="F4185" s="4" t="s">
        <v>2840</v>
      </c>
    </row>
    <row r="4186" spans="1:6" x14ac:dyDescent="0.25">
      <c r="A4186" s="4" t="str">
        <f>CONCATENATE("3071-0000-6457","")</f>
        <v>3071-0000-6457</v>
      </c>
      <c r="B4186" s="4" t="s">
        <v>8099</v>
      </c>
      <c r="C4186" s="5">
        <v>41489</v>
      </c>
      <c r="D4186" s="5">
        <v>41549</v>
      </c>
      <c r="E4186" s="4" t="s">
        <v>5185</v>
      </c>
      <c r="F4186" s="4" t="s">
        <v>5185</v>
      </c>
    </row>
    <row r="4187" spans="1:6" x14ac:dyDescent="0.25">
      <c r="A4187" s="4" t="str">
        <f>CONCATENATE("3071-0000-4518","")</f>
        <v>3071-0000-4518</v>
      </c>
      <c r="B4187" s="4" t="s">
        <v>9526</v>
      </c>
      <c r="C4187" s="5">
        <v>41489</v>
      </c>
      <c r="D4187" s="5">
        <v>41549</v>
      </c>
      <c r="E4187" s="4" t="s">
        <v>1410</v>
      </c>
      <c r="F4187" s="4" t="s">
        <v>8696</v>
      </c>
    </row>
    <row r="4188" spans="1:6" x14ac:dyDescent="0.25">
      <c r="A4188" s="4" t="str">
        <f>CONCATENATE("3071-0000-6020","")</f>
        <v>3071-0000-6020</v>
      </c>
      <c r="B4188" s="4" t="s">
        <v>7043</v>
      </c>
      <c r="C4188" s="5">
        <v>41489</v>
      </c>
      <c r="D4188" s="5">
        <v>41549</v>
      </c>
      <c r="E4188" s="4" t="s">
        <v>1410</v>
      </c>
      <c r="F4188" s="4" t="s">
        <v>6798</v>
      </c>
    </row>
    <row r="4189" spans="1:6" x14ac:dyDescent="0.25">
      <c r="A4189" s="4" t="str">
        <f>CONCATENATE("3071-0000-3272","")</f>
        <v>3071-0000-3272</v>
      </c>
      <c r="B4189" s="4" t="s">
        <v>1205</v>
      </c>
      <c r="C4189" s="5">
        <v>41489</v>
      </c>
      <c r="D4189" s="5">
        <v>41549</v>
      </c>
      <c r="E4189" s="4" t="s">
        <v>7</v>
      </c>
      <c r="F4189" s="4" t="s">
        <v>808</v>
      </c>
    </row>
    <row r="4190" spans="1:6" x14ac:dyDescent="0.25">
      <c r="A4190" s="4" t="str">
        <f>CONCATENATE("3071-0000-5041","")</f>
        <v>3071-0000-5041</v>
      </c>
      <c r="B4190" s="4" t="s">
        <v>9177</v>
      </c>
      <c r="C4190" s="5">
        <v>41489</v>
      </c>
      <c r="D4190" s="5">
        <v>41549</v>
      </c>
      <c r="E4190" s="4" t="s">
        <v>7069</v>
      </c>
      <c r="F4190" s="4" t="s">
        <v>7070</v>
      </c>
    </row>
    <row r="4191" spans="1:6" x14ac:dyDescent="0.25">
      <c r="A4191" s="4" t="str">
        <f>CONCATENATE("3071-0000-4687","")</f>
        <v>3071-0000-4687</v>
      </c>
      <c r="B4191" s="4" t="s">
        <v>9204</v>
      </c>
      <c r="C4191" s="5">
        <v>41489</v>
      </c>
      <c r="D4191" s="5">
        <v>41549</v>
      </c>
      <c r="E4191" s="4" t="s">
        <v>1410</v>
      </c>
      <c r="F4191" s="4" t="s">
        <v>8696</v>
      </c>
    </row>
    <row r="4192" spans="1:6" x14ac:dyDescent="0.25">
      <c r="A4192" s="4" t="str">
        <f>CONCATENATE("3071-0000-0701","")</f>
        <v>3071-0000-0701</v>
      </c>
      <c r="B4192" s="4" t="s">
        <v>62</v>
      </c>
      <c r="C4192" s="5">
        <v>41489</v>
      </c>
      <c r="D4192" s="5">
        <v>41549</v>
      </c>
      <c r="E4192" s="4" t="s">
        <v>7</v>
      </c>
      <c r="F4192" s="4" t="s">
        <v>7</v>
      </c>
    </row>
    <row r="4193" spans="1:6" x14ac:dyDescent="0.25">
      <c r="A4193" s="4" t="str">
        <f>CONCATENATE("3071-0000-2060","")</f>
        <v>3071-0000-2060</v>
      </c>
      <c r="B4193" s="4" t="s">
        <v>3506</v>
      </c>
      <c r="C4193" s="5">
        <v>41489</v>
      </c>
      <c r="D4193" s="5">
        <v>41549</v>
      </c>
      <c r="E4193" s="4" t="s">
        <v>2944</v>
      </c>
      <c r="F4193" s="4" t="s">
        <v>2945</v>
      </c>
    </row>
    <row r="4194" spans="1:6" x14ac:dyDescent="0.25">
      <c r="A4194" s="4" t="str">
        <f>CONCATENATE("3071-0000-2131","")</f>
        <v>3071-0000-2131</v>
      </c>
      <c r="B4194" s="4" t="s">
        <v>3529</v>
      </c>
      <c r="C4194" s="5">
        <v>41489</v>
      </c>
      <c r="D4194" s="5">
        <v>41549</v>
      </c>
      <c r="E4194" s="4" t="s">
        <v>2944</v>
      </c>
      <c r="F4194" s="4" t="s">
        <v>2945</v>
      </c>
    </row>
    <row r="4195" spans="1:6" x14ac:dyDescent="0.25">
      <c r="A4195" s="4" t="str">
        <f>CONCATENATE("3071-0000-5568","")</f>
        <v>3071-0000-5568</v>
      </c>
      <c r="B4195" s="4" t="s">
        <v>6987</v>
      </c>
      <c r="C4195" s="5">
        <v>41489</v>
      </c>
      <c r="D4195" s="5">
        <v>41549</v>
      </c>
      <c r="E4195" s="4" t="s">
        <v>5185</v>
      </c>
      <c r="F4195" s="4" t="s">
        <v>5185</v>
      </c>
    </row>
    <row r="4196" spans="1:6" x14ac:dyDescent="0.25">
      <c r="A4196" s="4" t="str">
        <f>CONCATENATE("3071-0000-4753","")</f>
        <v>3071-0000-4753</v>
      </c>
      <c r="B4196" s="4" t="s">
        <v>8885</v>
      </c>
      <c r="C4196" s="5">
        <v>41489</v>
      </c>
      <c r="D4196" s="5">
        <v>41549</v>
      </c>
      <c r="E4196" s="4" t="s">
        <v>1410</v>
      </c>
      <c r="F4196" s="4" t="s">
        <v>8696</v>
      </c>
    </row>
    <row r="4197" spans="1:6" x14ac:dyDescent="0.25">
      <c r="A4197" s="4" t="str">
        <f>CONCATENATE("3071-0000-8342","")</f>
        <v>3071-0000-8342</v>
      </c>
      <c r="B4197" s="4" t="s">
        <v>6040</v>
      </c>
      <c r="C4197" s="5">
        <v>41489</v>
      </c>
      <c r="D4197" s="5">
        <v>41549</v>
      </c>
      <c r="E4197" s="4" t="s">
        <v>5185</v>
      </c>
      <c r="F4197" s="4" t="s">
        <v>5185</v>
      </c>
    </row>
    <row r="4198" spans="1:6" x14ac:dyDescent="0.25">
      <c r="A4198" s="4" t="str">
        <f>CONCATENATE("3071-0000-2435","")</f>
        <v>3071-0000-2435</v>
      </c>
      <c r="B4198" s="4" t="s">
        <v>3366</v>
      </c>
      <c r="C4198" s="5">
        <v>41489</v>
      </c>
      <c r="D4198" s="5">
        <v>41549</v>
      </c>
      <c r="E4198" s="4" t="s">
        <v>1857</v>
      </c>
      <c r="F4198" s="4" t="s">
        <v>3306</v>
      </c>
    </row>
    <row r="4199" spans="1:6" x14ac:dyDescent="0.25">
      <c r="A4199" s="4" t="str">
        <f>CONCATENATE("3071-0000-2842","")</f>
        <v>3071-0000-2842</v>
      </c>
      <c r="B4199" s="4" t="s">
        <v>1117</v>
      </c>
      <c r="C4199" s="5">
        <v>41489</v>
      </c>
      <c r="D4199" s="5">
        <v>41549</v>
      </c>
      <c r="E4199" s="4" t="s">
        <v>7</v>
      </c>
      <c r="F4199" s="4" t="s">
        <v>808</v>
      </c>
    </row>
    <row r="4200" spans="1:6" x14ac:dyDescent="0.25">
      <c r="A4200" s="4" t="str">
        <f>CONCATENATE("3071-0000-1744","")</f>
        <v>3071-0000-1744</v>
      </c>
      <c r="B4200" s="4" t="s">
        <v>2726</v>
      </c>
      <c r="C4200" s="5">
        <v>41489</v>
      </c>
      <c r="D4200" s="5">
        <v>41549</v>
      </c>
      <c r="E4200" s="4" t="s">
        <v>1381</v>
      </c>
      <c r="F4200" s="4" t="s">
        <v>2662</v>
      </c>
    </row>
    <row r="4201" spans="1:6" x14ac:dyDescent="0.25">
      <c r="A4201" s="4" t="str">
        <f>CONCATENATE("3071-0000-3325","")</f>
        <v>3071-0000-3325</v>
      </c>
      <c r="B4201" s="4" t="s">
        <v>1061</v>
      </c>
      <c r="C4201" s="5">
        <v>41489</v>
      </c>
      <c r="D4201" s="5">
        <v>41549</v>
      </c>
      <c r="E4201" s="4" t="s">
        <v>7</v>
      </c>
      <c r="F4201" s="4" t="s">
        <v>808</v>
      </c>
    </row>
    <row r="4202" spans="1:6" x14ac:dyDescent="0.25">
      <c r="A4202" s="4" t="str">
        <f>CONCATENATE("3071-0000-1619","")</f>
        <v>3071-0000-1619</v>
      </c>
      <c r="B4202" s="4" t="s">
        <v>2493</v>
      </c>
      <c r="C4202" s="5">
        <v>41489</v>
      </c>
      <c r="D4202" s="5">
        <v>41549</v>
      </c>
      <c r="E4202" s="4" t="s">
        <v>1381</v>
      </c>
      <c r="F4202" s="4" t="s">
        <v>2303</v>
      </c>
    </row>
    <row r="4203" spans="1:6" x14ac:dyDescent="0.25">
      <c r="A4203" s="4" t="str">
        <f>CONCATENATE("3071-0000-4238","")</f>
        <v>3071-0000-4238</v>
      </c>
      <c r="B4203" s="4" t="s">
        <v>8716</v>
      </c>
      <c r="C4203" s="5">
        <v>41489</v>
      </c>
      <c r="D4203" s="5">
        <v>41549</v>
      </c>
      <c r="E4203" s="4" t="s">
        <v>1410</v>
      </c>
      <c r="F4203" s="4" t="s">
        <v>8696</v>
      </c>
    </row>
    <row r="4204" spans="1:6" x14ac:dyDescent="0.25">
      <c r="A4204" s="4" t="str">
        <f>CONCATENATE("3071-0000-0687","")</f>
        <v>3071-0000-0687</v>
      </c>
      <c r="B4204" s="4" t="s">
        <v>118</v>
      </c>
      <c r="C4204" s="5">
        <v>41489</v>
      </c>
      <c r="D4204" s="5">
        <v>41549</v>
      </c>
      <c r="E4204" s="4" t="s">
        <v>7</v>
      </c>
      <c r="F4204" s="4" t="s">
        <v>7</v>
      </c>
    </row>
    <row r="4205" spans="1:6" x14ac:dyDescent="0.25">
      <c r="A4205" s="4" t="str">
        <f>CONCATENATE("3071-0000-1007","")</f>
        <v>3071-0000-1007</v>
      </c>
      <c r="B4205" s="4" t="s">
        <v>2217</v>
      </c>
      <c r="C4205" s="5">
        <v>41489</v>
      </c>
      <c r="D4205" s="5">
        <v>41549</v>
      </c>
      <c r="E4205" s="4" t="s">
        <v>1857</v>
      </c>
      <c r="F4205" s="4" t="s">
        <v>1857</v>
      </c>
    </row>
    <row r="4206" spans="1:6" x14ac:dyDescent="0.25">
      <c r="A4206" s="4" t="str">
        <f>CONCATENATE("3071-0000-5124","")</f>
        <v>3071-0000-5124</v>
      </c>
      <c r="B4206" s="4" t="s">
        <v>9188</v>
      </c>
      <c r="C4206" s="5">
        <v>41489</v>
      </c>
      <c r="D4206" s="5">
        <v>41549</v>
      </c>
      <c r="E4206" s="4" t="s">
        <v>7069</v>
      </c>
      <c r="F4206" s="4" t="s">
        <v>7070</v>
      </c>
    </row>
    <row r="4207" spans="1:6" x14ac:dyDescent="0.25">
      <c r="A4207" s="4" t="str">
        <f>CONCATENATE("3071-0000-2724","")</f>
        <v>3071-0000-2724</v>
      </c>
      <c r="B4207" s="4" t="s">
        <v>3422</v>
      </c>
      <c r="C4207" s="5">
        <v>41489</v>
      </c>
      <c r="D4207" s="5">
        <v>41549</v>
      </c>
      <c r="E4207" s="4" t="s">
        <v>1857</v>
      </c>
      <c r="F4207" s="4" t="s">
        <v>3306</v>
      </c>
    </row>
    <row r="4208" spans="1:6" x14ac:dyDescent="0.25">
      <c r="A4208" s="4" t="str">
        <f>CONCATENATE("3071-0000-1750","")</f>
        <v>3071-0000-1750</v>
      </c>
      <c r="B4208" s="4" t="s">
        <v>2625</v>
      </c>
      <c r="C4208" s="5">
        <v>41489</v>
      </c>
      <c r="D4208" s="5">
        <v>41549</v>
      </c>
      <c r="E4208" s="4" t="s">
        <v>1381</v>
      </c>
      <c r="F4208" s="4" t="s">
        <v>2319</v>
      </c>
    </row>
    <row r="4209" spans="1:6" x14ac:dyDescent="0.25">
      <c r="A4209" s="4" t="str">
        <f>CONCATENATE("3071-0000-1558","")</f>
        <v>3071-0000-1558</v>
      </c>
      <c r="B4209" s="4" t="s">
        <v>2769</v>
      </c>
      <c r="C4209" s="5">
        <v>41489</v>
      </c>
      <c r="D4209" s="5">
        <v>41549</v>
      </c>
      <c r="E4209" s="4" t="s">
        <v>1381</v>
      </c>
      <c r="F4209" s="4" t="s">
        <v>2303</v>
      </c>
    </row>
    <row r="4210" spans="1:6" x14ac:dyDescent="0.25">
      <c r="A4210" s="4" t="str">
        <f>CONCATENATE("3071-0000-1741","")</f>
        <v>3071-0000-1741</v>
      </c>
      <c r="B4210" s="4" t="s">
        <v>2729</v>
      </c>
      <c r="C4210" s="5">
        <v>41489</v>
      </c>
      <c r="D4210" s="5">
        <v>41549</v>
      </c>
      <c r="E4210" s="4" t="s">
        <v>1381</v>
      </c>
      <c r="F4210" s="4" t="s">
        <v>2662</v>
      </c>
    </row>
    <row r="4211" spans="1:6" x14ac:dyDescent="0.25">
      <c r="A4211" s="4" t="str">
        <f>CONCATENATE("3071-0000-1745","")</f>
        <v>3071-0000-1745</v>
      </c>
      <c r="B4211" s="4" t="s">
        <v>2725</v>
      </c>
      <c r="C4211" s="5">
        <v>41489</v>
      </c>
      <c r="D4211" s="5">
        <v>41549</v>
      </c>
      <c r="E4211" s="4" t="s">
        <v>1381</v>
      </c>
      <c r="F4211" s="4" t="s">
        <v>2662</v>
      </c>
    </row>
    <row r="4212" spans="1:6" x14ac:dyDescent="0.25">
      <c r="A4212" s="4" t="str">
        <f>CONCATENATE("3071-0000-1742","")</f>
        <v>3071-0000-1742</v>
      </c>
      <c r="B4212" s="4" t="s">
        <v>2727</v>
      </c>
      <c r="C4212" s="5">
        <v>41489</v>
      </c>
      <c r="D4212" s="5">
        <v>41549</v>
      </c>
      <c r="E4212" s="4" t="s">
        <v>1381</v>
      </c>
      <c r="F4212" s="4" t="s">
        <v>2662</v>
      </c>
    </row>
    <row r="4213" spans="1:6" x14ac:dyDescent="0.25">
      <c r="A4213" s="4" t="str">
        <f>CONCATENATE("3071-0000-2239","")</f>
        <v>3071-0000-2239</v>
      </c>
      <c r="B4213" s="4" t="s">
        <v>3721</v>
      </c>
      <c r="C4213" s="5">
        <v>41489</v>
      </c>
      <c r="D4213" s="5">
        <v>41549</v>
      </c>
      <c r="E4213" s="4" t="s">
        <v>2944</v>
      </c>
      <c r="F4213" s="4" t="s">
        <v>2945</v>
      </c>
    </row>
    <row r="4214" spans="1:6" x14ac:dyDescent="0.25">
      <c r="A4214" s="4" t="str">
        <f>CONCATENATE("3071-0000-2217","")</f>
        <v>3071-0000-2217</v>
      </c>
      <c r="B4214" s="4" t="s">
        <v>3714</v>
      </c>
      <c r="C4214" s="5">
        <v>41489</v>
      </c>
      <c r="D4214" s="5">
        <v>41549</v>
      </c>
      <c r="E4214" s="4" t="s">
        <v>2944</v>
      </c>
      <c r="F4214" s="4" t="s">
        <v>2945</v>
      </c>
    </row>
    <row r="4215" spans="1:6" x14ac:dyDescent="0.25">
      <c r="A4215" s="4" t="str">
        <f>CONCATENATE("3071-0000-1188","")</f>
        <v>3071-0000-1188</v>
      </c>
      <c r="B4215" s="4" t="s">
        <v>2206</v>
      </c>
      <c r="C4215" s="5">
        <v>41489</v>
      </c>
      <c r="D4215" s="5">
        <v>41549</v>
      </c>
      <c r="E4215" s="4" t="s">
        <v>1857</v>
      </c>
      <c r="F4215" s="4" t="s">
        <v>2108</v>
      </c>
    </row>
    <row r="4216" spans="1:6" x14ac:dyDescent="0.25">
      <c r="A4216" s="4" t="str">
        <f>CONCATENATE("3071-0000-1001","")</f>
        <v>3071-0000-1001</v>
      </c>
      <c r="B4216" s="4" t="s">
        <v>2222</v>
      </c>
      <c r="C4216" s="5">
        <v>41489</v>
      </c>
      <c r="D4216" s="5">
        <v>41549</v>
      </c>
      <c r="E4216" s="4" t="s">
        <v>1857</v>
      </c>
      <c r="F4216" s="4" t="s">
        <v>1857</v>
      </c>
    </row>
    <row r="4217" spans="1:6" x14ac:dyDescent="0.25">
      <c r="A4217" s="4" t="str">
        <f>CONCATENATE("3071-0000-0233","")</f>
        <v>3071-0000-0233</v>
      </c>
      <c r="B4217" s="4" t="s">
        <v>516</v>
      </c>
      <c r="C4217" s="5">
        <v>41489</v>
      </c>
      <c r="D4217" s="5">
        <v>41549</v>
      </c>
      <c r="E4217" s="4" t="s">
        <v>7</v>
      </c>
      <c r="F4217" s="4" t="s">
        <v>7</v>
      </c>
    </row>
    <row r="4218" spans="1:6" x14ac:dyDescent="0.25">
      <c r="A4218" s="4" t="str">
        <f>CONCATENATE("3071-0000-1430","")</f>
        <v>3071-0000-1430</v>
      </c>
      <c r="B4218" s="4" t="s">
        <v>2659</v>
      </c>
      <c r="C4218" s="5">
        <v>41489</v>
      </c>
      <c r="D4218" s="5">
        <v>41549</v>
      </c>
      <c r="E4218" s="4" t="s">
        <v>1381</v>
      </c>
      <c r="F4218" s="4" t="s">
        <v>2303</v>
      </c>
    </row>
    <row r="4219" spans="1:6" x14ac:dyDescent="0.25">
      <c r="A4219" s="4" t="str">
        <f>CONCATENATE("3071-0000-4891","")</f>
        <v>3071-0000-4891</v>
      </c>
      <c r="B4219" s="4" t="s">
        <v>9169</v>
      </c>
      <c r="C4219" s="5">
        <v>41489</v>
      </c>
      <c r="D4219" s="5">
        <v>41549</v>
      </c>
      <c r="E4219" s="4" t="s">
        <v>1410</v>
      </c>
      <c r="F4219" s="4" t="s">
        <v>8696</v>
      </c>
    </row>
    <row r="4220" spans="1:6" x14ac:dyDescent="0.25">
      <c r="A4220" s="4" t="str">
        <f>CONCATENATE("3071-0000-0626","")</f>
        <v>3071-0000-0626</v>
      </c>
      <c r="B4220" s="4" t="s">
        <v>780</v>
      </c>
      <c r="C4220" s="5">
        <v>41489</v>
      </c>
      <c r="D4220" s="5">
        <v>41549</v>
      </c>
      <c r="E4220" s="4" t="s">
        <v>7</v>
      </c>
      <c r="F4220" s="4" t="s">
        <v>7</v>
      </c>
    </row>
    <row r="4221" spans="1:6" x14ac:dyDescent="0.25">
      <c r="A4221" s="4" t="str">
        <f>CONCATENATE("3071-0000-2602","")</f>
        <v>3071-0000-2602</v>
      </c>
      <c r="B4221" s="4" t="s">
        <v>3244</v>
      </c>
      <c r="C4221" s="5">
        <v>41489</v>
      </c>
      <c r="D4221" s="5">
        <v>41549</v>
      </c>
      <c r="E4221" s="4" t="s">
        <v>2944</v>
      </c>
      <c r="F4221" s="4" t="s">
        <v>3164</v>
      </c>
    </row>
    <row r="4222" spans="1:6" x14ac:dyDescent="0.25">
      <c r="A4222" s="4" t="str">
        <f>CONCATENATE("3071-0000-1326","")</f>
        <v>3071-0000-1326</v>
      </c>
      <c r="B4222" s="4" t="s">
        <v>2450</v>
      </c>
      <c r="C4222" s="5">
        <v>41489</v>
      </c>
      <c r="D4222" s="5">
        <v>41549</v>
      </c>
      <c r="E4222" s="4" t="s">
        <v>1381</v>
      </c>
      <c r="F4222" s="4" t="s">
        <v>2303</v>
      </c>
    </row>
    <row r="4223" spans="1:6" x14ac:dyDescent="0.25">
      <c r="A4223" s="4" t="str">
        <f>CONCATENATE("3071-0000-4459","")</f>
        <v>3071-0000-4459</v>
      </c>
      <c r="B4223" s="4" t="s">
        <v>9342</v>
      </c>
      <c r="C4223" s="5">
        <v>41489</v>
      </c>
      <c r="D4223" s="5">
        <v>41549</v>
      </c>
      <c r="E4223" s="4" t="s">
        <v>1410</v>
      </c>
      <c r="F4223" s="4" t="s">
        <v>8696</v>
      </c>
    </row>
    <row r="4224" spans="1:6" x14ac:dyDescent="0.25">
      <c r="A4224" s="4" t="str">
        <f>CONCATENATE("3071-0000-4083","")</f>
        <v>3071-0000-4083</v>
      </c>
      <c r="B4224" s="4" t="s">
        <v>4001</v>
      </c>
      <c r="C4224" s="5">
        <v>41489</v>
      </c>
      <c r="D4224" s="5">
        <v>41549</v>
      </c>
      <c r="E4224" s="4" t="s">
        <v>1381</v>
      </c>
      <c r="F4224" s="4" t="s">
        <v>3994</v>
      </c>
    </row>
    <row r="4225" spans="1:6" x14ac:dyDescent="0.25">
      <c r="A4225" s="4" t="str">
        <f>CONCATENATE("3071-0000-2176","")</f>
        <v>3071-0000-2176</v>
      </c>
      <c r="B4225" s="4" t="s">
        <v>3656</v>
      </c>
      <c r="C4225" s="5">
        <v>41489</v>
      </c>
      <c r="D4225" s="5">
        <v>41549</v>
      </c>
      <c r="E4225" s="4" t="s">
        <v>2944</v>
      </c>
      <c r="F4225" s="4" t="s">
        <v>2945</v>
      </c>
    </row>
    <row r="4226" spans="1:6" x14ac:dyDescent="0.25">
      <c r="A4226" s="4" t="str">
        <f>CONCATENATE("3071-0000-2186","")</f>
        <v>3071-0000-2186</v>
      </c>
      <c r="B4226" s="4" t="s">
        <v>3673</v>
      </c>
      <c r="C4226" s="5">
        <v>41489</v>
      </c>
      <c r="D4226" s="5">
        <v>41549</v>
      </c>
      <c r="E4226" s="4" t="s">
        <v>2944</v>
      </c>
      <c r="F4226" s="4" t="s">
        <v>2945</v>
      </c>
    </row>
    <row r="4227" spans="1:6" x14ac:dyDescent="0.25">
      <c r="A4227" s="4" t="str">
        <f>CONCATENATE("3071-0000-5015","")</f>
        <v>3071-0000-5015</v>
      </c>
      <c r="B4227" s="4" t="s">
        <v>9104</v>
      </c>
      <c r="C4227" s="5">
        <v>41489</v>
      </c>
      <c r="D4227" s="5">
        <v>41549</v>
      </c>
      <c r="E4227" s="4" t="s">
        <v>7069</v>
      </c>
      <c r="F4227" s="4" t="s">
        <v>9065</v>
      </c>
    </row>
    <row r="4228" spans="1:6" x14ac:dyDescent="0.25">
      <c r="A4228" s="4" t="str">
        <f>CONCATENATE("3071-0000-4157","")</f>
        <v>3071-0000-4157</v>
      </c>
      <c r="B4228" s="4" t="s">
        <v>4263</v>
      </c>
      <c r="C4228" s="5">
        <v>41489</v>
      </c>
      <c r="D4228" s="5">
        <v>41549</v>
      </c>
      <c r="E4228" s="4" t="s">
        <v>7</v>
      </c>
      <c r="F4228" s="4" t="s">
        <v>3813</v>
      </c>
    </row>
    <row r="4229" spans="1:6" x14ac:dyDescent="0.25">
      <c r="A4229" s="4" t="str">
        <f>CONCATENATE("3071-0000-4817","")</f>
        <v>3071-0000-4817</v>
      </c>
      <c r="B4229" s="4" t="s">
        <v>9202</v>
      </c>
      <c r="C4229" s="5">
        <v>41489</v>
      </c>
      <c r="D4229" s="5">
        <v>41549</v>
      </c>
      <c r="E4229" s="4" t="s">
        <v>1410</v>
      </c>
      <c r="F4229" s="4" t="s">
        <v>8696</v>
      </c>
    </row>
    <row r="4230" spans="1:6" x14ac:dyDescent="0.25">
      <c r="A4230" s="4" t="str">
        <f>CONCATENATE("3071-0000-4404","")</f>
        <v>3071-0000-4404</v>
      </c>
      <c r="B4230" s="4" t="s">
        <v>9260</v>
      </c>
      <c r="C4230" s="5">
        <v>41489</v>
      </c>
      <c r="D4230" s="5">
        <v>41549</v>
      </c>
      <c r="E4230" s="4" t="s">
        <v>1410</v>
      </c>
      <c r="F4230" s="4" t="s">
        <v>8696</v>
      </c>
    </row>
    <row r="4231" spans="1:6" x14ac:dyDescent="0.25">
      <c r="A4231" s="4" t="str">
        <f>CONCATENATE("3071-0000-3117","")</f>
        <v>3071-0000-3117</v>
      </c>
      <c r="B4231" s="4" t="s">
        <v>1098</v>
      </c>
      <c r="C4231" s="5">
        <v>41489</v>
      </c>
      <c r="D4231" s="5">
        <v>41549</v>
      </c>
      <c r="E4231" s="4" t="s">
        <v>7</v>
      </c>
      <c r="F4231" s="4" t="s">
        <v>808</v>
      </c>
    </row>
    <row r="4232" spans="1:6" x14ac:dyDescent="0.25">
      <c r="A4232" s="4" t="str">
        <f>CONCATENATE("3071-0000-1778","")</f>
        <v>3071-0000-1778</v>
      </c>
      <c r="B4232" s="4" t="s">
        <v>2814</v>
      </c>
      <c r="C4232" s="5">
        <v>41489</v>
      </c>
      <c r="D4232" s="5">
        <v>41549</v>
      </c>
      <c r="E4232" s="4" t="s">
        <v>1381</v>
      </c>
      <c r="F4232" s="4" t="s">
        <v>2533</v>
      </c>
    </row>
    <row r="4233" spans="1:6" x14ac:dyDescent="0.25">
      <c r="A4233" s="4" t="str">
        <f>CONCATENATE("3071-0000-4674","")</f>
        <v>3071-0000-4674</v>
      </c>
      <c r="B4233" s="4" t="s">
        <v>9186</v>
      </c>
      <c r="C4233" s="5">
        <v>41489</v>
      </c>
      <c r="D4233" s="5">
        <v>41549</v>
      </c>
      <c r="E4233" s="4" t="s">
        <v>1410</v>
      </c>
      <c r="F4233" s="4" t="s">
        <v>8696</v>
      </c>
    </row>
    <row r="4234" spans="1:6" x14ac:dyDescent="0.25">
      <c r="A4234" s="4" t="str">
        <f>CONCATENATE("3071-0000-4602","")</f>
        <v>3071-0000-4602</v>
      </c>
      <c r="B4234" s="4" t="s">
        <v>9129</v>
      </c>
      <c r="C4234" s="5">
        <v>41489</v>
      </c>
      <c r="D4234" s="5">
        <v>41549</v>
      </c>
      <c r="E4234" s="4" t="s">
        <v>1410</v>
      </c>
      <c r="F4234" s="4" t="s">
        <v>8696</v>
      </c>
    </row>
    <row r="4235" spans="1:6" x14ac:dyDescent="0.25">
      <c r="A4235" s="4" t="str">
        <f>CONCATENATE("3071-0000-4543","")</f>
        <v>3071-0000-4543</v>
      </c>
      <c r="B4235" s="4" t="s">
        <v>9069</v>
      </c>
      <c r="C4235" s="5">
        <v>41489</v>
      </c>
      <c r="D4235" s="5">
        <v>41549</v>
      </c>
      <c r="E4235" s="4" t="s">
        <v>1410</v>
      </c>
      <c r="F4235" s="4" t="s">
        <v>8696</v>
      </c>
    </row>
    <row r="4236" spans="1:6" x14ac:dyDescent="0.25">
      <c r="A4236" s="4" t="str">
        <f>CONCATENATE("3071-0000-0268","")</f>
        <v>3071-0000-0268</v>
      </c>
      <c r="B4236" s="4" t="s">
        <v>616</v>
      </c>
      <c r="C4236" s="5">
        <v>41489</v>
      </c>
      <c r="D4236" s="5">
        <v>41549</v>
      </c>
      <c r="E4236" s="4" t="s">
        <v>7</v>
      </c>
      <c r="F4236" s="4" t="s">
        <v>7</v>
      </c>
    </row>
    <row r="4237" spans="1:6" x14ac:dyDescent="0.25">
      <c r="A4237" s="4" t="str">
        <f>CONCATENATE("3071-0000-0679","")</f>
        <v>3071-0000-0679</v>
      </c>
      <c r="B4237" s="4" t="s">
        <v>203</v>
      </c>
      <c r="C4237" s="5">
        <v>41489</v>
      </c>
      <c r="D4237" s="5">
        <v>41549</v>
      </c>
      <c r="E4237" s="4" t="s">
        <v>7</v>
      </c>
      <c r="F4237" s="4" t="s">
        <v>7</v>
      </c>
    </row>
    <row r="4238" spans="1:6" x14ac:dyDescent="0.25">
      <c r="A4238" s="4" t="str">
        <f>CONCATENATE("3071-0000-4469","")</f>
        <v>3071-0000-4469</v>
      </c>
      <c r="B4238" s="4" t="s">
        <v>9355</v>
      </c>
      <c r="C4238" s="5">
        <v>41489</v>
      </c>
      <c r="D4238" s="5">
        <v>41549</v>
      </c>
      <c r="E4238" s="4" t="s">
        <v>1410</v>
      </c>
      <c r="F4238" s="4" t="s">
        <v>8696</v>
      </c>
    </row>
    <row r="4239" spans="1:6" x14ac:dyDescent="0.25">
      <c r="A4239" s="4" t="str">
        <f>CONCATENATE("3071-0000-1717","")</f>
        <v>3071-0000-1717</v>
      </c>
      <c r="B4239" s="4" t="s">
        <v>2371</v>
      </c>
      <c r="C4239" s="5">
        <v>41489</v>
      </c>
      <c r="D4239" s="5">
        <v>41549</v>
      </c>
      <c r="E4239" s="4" t="s">
        <v>1381</v>
      </c>
      <c r="F4239" s="4" t="s">
        <v>2319</v>
      </c>
    </row>
    <row r="4240" spans="1:6" x14ac:dyDescent="0.25">
      <c r="A4240" s="4" t="str">
        <f>CONCATENATE("3071-0000-1258","")</f>
        <v>3071-0000-1258</v>
      </c>
      <c r="B4240" s="4" t="s">
        <v>2348</v>
      </c>
      <c r="C4240" s="5">
        <v>41489</v>
      </c>
      <c r="D4240" s="5">
        <v>41549</v>
      </c>
      <c r="E4240" s="4" t="s">
        <v>1381</v>
      </c>
      <c r="F4240" s="4" t="s">
        <v>2303</v>
      </c>
    </row>
    <row r="4241" spans="1:6" x14ac:dyDescent="0.25">
      <c r="A4241" s="4" t="str">
        <f>CONCATENATE("3071-0000-8244","")</f>
        <v>3071-0000-8244</v>
      </c>
      <c r="B4241" s="4" t="s">
        <v>5999</v>
      </c>
      <c r="C4241" s="5">
        <v>41489</v>
      </c>
      <c r="D4241" s="5">
        <v>41549</v>
      </c>
      <c r="E4241" s="4" t="s">
        <v>5185</v>
      </c>
      <c r="F4241" s="4" t="s">
        <v>5185</v>
      </c>
    </row>
    <row r="4242" spans="1:6" x14ac:dyDescent="0.25">
      <c r="A4242" s="4" t="str">
        <f>CONCATENATE("3071-0000-5019","")</f>
        <v>3071-0000-5019</v>
      </c>
      <c r="B4242" s="4" t="s">
        <v>9607</v>
      </c>
      <c r="C4242" s="5">
        <v>41489</v>
      </c>
      <c r="D4242" s="5">
        <v>41549</v>
      </c>
      <c r="E4242" s="4" t="s">
        <v>7069</v>
      </c>
      <c r="F4242" s="4" t="s">
        <v>9485</v>
      </c>
    </row>
    <row r="4243" spans="1:6" x14ac:dyDescent="0.25">
      <c r="A4243" s="4" t="str">
        <f>CONCATENATE("3071-0000-2655","")</f>
        <v>3071-0000-2655</v>
      </c>
      <c r="B4243" s="4" t="s">
        <v>3369</v>
      </c>
      <c r="C4243" s="5">
        <v>41489</v>
      </c>
      <c r="D4243" s="5">
        <v>41549</v>
      </c>
      <c r="E4243" s="4" t="s">
        <v>1857</v>
      </c>
      <c r="F4243" s="4" t="s">
        <v>3306</v>
      </c>
    </row>
    <row r="4244" spans="1:6" x14ac:dyDescent="0.25">
      <c r="A4244" s="4" t="str">
        <f>CONCATENATE("3071-0000-0420","")</f>
        <v>3071-0000-0420</v>
      </c>
      <c r="B4244" s="4" t="s">
        <v>638</v>
      </c>
      <c r="C4244" s="5">
        <v>41489</v>
      </c>
      <c r="D4244" s="5">
        <v>41549</v>
      </c>
      <c r="E4244" s="4" t="s">
        <v>7</v>
      </c>
      <c r="F4244" s="4" t="s">
        <v>7</v>
      </c>
    </row>
    <row r="4245" spans="1:6" x14ac:dyDescent="0.25">
      <c r="A4245" s="4" t="str">
        <f>CONCATENATE("3071-0000-1280","")</f>
        <v>3071-0000-1280</v>
      </c>
      <c r="B4245" s="4" t="s">
        <v>2386</v>
      </c>
      <c r="C4245" s="5">
        <v>41489</v>
      </c>
      <c r="D4245" s="5">
        <v>41549</v>
      </c>
      <c r="E4245" s="4" t="s">
        <v>1381</v>
      </c>
      <c r="F4245" s="4" t="s">
        <v>2303</v>
      </c>
    </row>
    <row r="4246" spans="1:6" x14ac:dyDescent="0.25">
      <c r="A4246" s="4" t="str">
        <f>CONCATENATE("3071-0000-4912","")</f>
        <v>3071-0000-4912</v>
      </c>
      <c r="B4246" s="4" t="s">
        <v>8782</v>
      </c>
      <c r="C4246" s="5">
        <v>41489</v>
      </c>
      <c r="D4246" s="5">
        <v>41549</v>
      </c>
      <c r="E4246" s="4" t="s">
        <v>7069</v>
      </c>
      <c r="F4246" s="4" t="s">
        <v>8783</v>
      </c>
    </row>
    <row r="4247" spans="1:6" x14ac:dyDescent="0.25">
      <c r="A4247" s="4" t="str">
        <f>CONCATENATE("3071-0000-0812","")</f>
        <v>3071-0000-0812</v>
      </c>
      <c r="B4247" s="4" t="s">
        <v>1871</v>
      </c>
      <c r="C4247" s="5">
        <v>41489</v>
      </c>
      <c r="D4247" s="5">
        <v>41549</v>
      </c>
      <c r="E4247" s="4" t="s">
        <v>1857</v>
      </c>
      <c r="F4247" s="4" t="s">
        <v>1857</v>
      </c>
    </row>
    <row r="4248" spans="1:6" x14ac:dyDescent="0.25">
      <c r="A4248" s="4" t="str">
        <f>CONCATENATE("3071-0000-5165","")</f>
        <v>3071-0000-5165</v>
      </c>
      <c r="B4248" s="4" t="s">
        <v>8978</v>
      </c>
      <c r="C4248" s="5">
        <v>41489</v>
      </c>
      <c r="D4248" s="5">
        <v>41549</v>
      </c>
      <c r="E4248" s="4" t="s">
        <v>1410</v>
      </c>
      <c r="F4248" s="4" t="s">
        <v>8903</v>
      </c>
    </row>
    <row r="4249" spans="1:6" x14ac:dyDescent="0.25">
      <c r="A4249" s="4" t="str">
        <f>CONCATENATE("3071-0000-1538","")</f>
        <v>3071-0000-1538</v>
      </c>
      <c r="B4249" s="4" t="s">
        <v>2754</v>
      </c>
      <c r="C4249" s="5">
        <v>41489</v>
      </c>
      <c r="D4249" s="5">
        <v>41549</v>
      </c>
      <c r="E4249" s="4" t="s">
        <v>1381</v>
      </c>
      <c r="F4249" s="4" t="s">
        <v>2303</v>
      </c>
    </row>
    <row r="4250" spans="1:6" x14ac:dyDescent="0.25">
      <c r="A4250" s="4" t="str">
        <f>CONCATENATE("3071-0000-4844","")</f>
        <v>3071-0000-4844</v>
      </c>
      <c r="B4250" s="4" t="s">
        <v>8764</v>
      </c>
      <c r="C4250" s="5">
        <v>41489</v>
      </c>
      <c r="D4250" s="5">
        <v>41549</v>
      </c>
      <c r="E4250" s="4" t="s">
        <v>1410</v>
      </c>
      <c r="F4250" s="4" t="s">
        <v>8696</v>
      </c>
    </row>
    <row r="4251" spans="1:6" x14ac:dyDescent="0.25">
      <c r="A4251" s="4" t="str">
        <f>CONCATENATE("3071-0000-1804","")</f>
        <v>3071-0000-1804</v>
      </c>
      <c r="B4251" s="4" t="s">
        <v>2856</v>
      </c>
      <c r="C4251" s="5">
        <v>41489</v>
      </c>
      <c r="D4251" s="5">
        <v>41549</v>
      </c>
      <c r="E4251" s="4" t="s">
        <v>1381</v>
      </c>
      <c r="F4251" s="4" t="s">
        <v>2840</v>
      </c>
    </row>
    <row r="4252" spans="1:6" x14ac:dyDescent="0.25">
      <c r="A4252" s="4" t="str">
        <f>CONCATENATE("3071-0000-5874","")</f>
        <v>3071-0000-5874</v>
      </c>
      <c r="B4252" s="4" t="s">
        <v>7285</v>
      </c>
      <c r="C4252" s="5">
        <v>41489</v>
      </c>
      <c r="D4252" s="5">
        <v>41549</v>
      </c>
      <c r="E4252" s="4" t="s">
        <v>5185</v>
      </c>
      <c r="F4252" s="4" t="s">
        <v>5185</v>
      </c>
    </row>
    <row r="4253" spans="1:6" x14ac:dyDescent="0.25">
      <c r="A4253" s="4" t="str">
        <f>CONCATENATE("3071-0000-2624","")</f>
        <v>3071-0000-2624</v>
      </c>
      <c r="B4253" s="4" t="s">
        <v>3562</v>
      </c>
      <c r="C4253" s="5">
        <v>41489</v>
      </c>
      <c r="D4253" s="5">
        <v>41549</v>
      </c>
      <c r="E4253" s="4" t="s">
        <v>2944</v>
      </c>
      <c r="F4253" s="4" t="s">
        <v>3515</v>
      </c>
    </row>
    <row r="4254" spans="1:6" x14ac:dyDescent="0.25">
      <c r="A4254" s="4" t="str">
        <f>CONCATENATE("3071-0000-1772","")</f>
        <v>3071-0000-1772</v>
      </c>
      <c r="B4254" s="4" t="s">
        <v>2772</v>
      </c>
      <c r="C4254" s="5">
        <v>41489</v>
      </c>
      <c r="D4254" s="5">
        <v>41549</v>
      </c>
      <c r="E4254" s="4" t="s">
        <v>1381</v>
      </c>
      <c r="F4254" s="4" t="s">
        <v>1382</v>
      </c>
    </row>
    <row r="4255" spans="1:6" x14ac:dyDescent="0.25">
      <c r="A4255" s="4" t="str">
        <f>CONCATENATE("3071-0000-3999","")</f>
        <v>3071-0000-3999</v>
      </c>
      <c r="B4255" s="4" t="s">
        <v>4098</v>
      </c>
      <c r="C4255" s="5">
        <v>41489</v>
      </c>
      <c r="D4255" s="5">
        <v>41549</v>
      </c>
      <c r="E4255" s="4" t="s">
        <v>2944</v>
      </c>
      <c r="F4255" s="4" t="s">
        <v>3513</v>
      </c>
    </row>
    <row r="4256" spans="1:6" x14ac:dyDescent="0.25">
      <c r="A4256" s="4" t="str">
        <f>CONCATENATE("3071-0000-2929","")</f>
        <v>3071-0000-2929</v>
      </c>
      <c r="B4256" s="4" t="s">
        <v>1317</v>
      </c>
      <c r="C4256" s="5">
        <v>41489</v>
      </c>
      <c r="D4256" s="5">
        <v>41549</v>
      </c>
      <c r="E4256" s="4" t="s">
        <v>7</v>
      </c>
      <c r="F4256" s="4" t="s">
        <v>808</v>
      </c>
    </row>
    <row r="4257" spans="1:6" x14ac:dyDescent="0.25">
      <c r="A4257" s="4" t="str">
        <f>CONCATENATE("3071-0000-2523","")</f>
        <v>3071-0000-2523</v>
      </c>
      <c r="B4257" s="4" t="s">
        <v>3597</v>
      </c>
      <c r="C4257" s="5">
        <v>41489</v>
      </c>
      <c r="D4257" s="5">
        <v>41549</v>
      </c>
      <c r="E4257" s="4" t="s">
        <v>2944</v>
      </c>
      <c r="F4257" s="4" t="s">
        <v>3567</v>
      </c>
    </row>
    <row r="4258" spans="1:6" x14ac:dyDescent="0.25">
      <c r="A4258" s="4" t="str">
        <f>CONCATENATE("3071-0000-2947","")</f>
        <v>3071-0000-2947</v>
      </c>
      <c r="B4258" s="4" t="s">
        <v>1328</v>
      </c>
      <c r="C4258" s="5">
        <v>41489</v>
      </c>
      <c r="D4258" s="5">
        <v>41549</v>
      </c>
      <c r="E4258" s="4" t="s">
        <v>7</v>
      </c>
      <c r="F4258" s="4" t="s">
        <v>808</v>
      </c>
    </row>
    <row r="4259" spans="1:6" x14ac:dyDescent="0.25">
      <c r="A4259" s="4" t="str">
        <f>CONCATENATE("3071-0000-2970","")</f>
        <v>3071-0000-2970</v>
      </c>
      <c r="B4259" s="4" t="s">
        <v>1153</v>
      </c>
      <c r="C4259" s="5">
        <v>41489</v>
      </c>
      <c r="D4259" s="5">
        <v>41549</v>
      </c>
      <c r="E4259" s="4" t="s">
        <v>7</v>
      </c>
      <c r="F4259" s="4" t="s">
        <v>808</v>
      </c>
    </row>
    <row r="4260" spans="1:6" x14ac:dyDescent="0.25">
      <c r="A4260" s="4" t="str">
        <f>CONCATENATE("3071-0000-3072","")</f>
        <v>3071-0000-3072</v>
      </c>
      <c r="B4260" s="4" t="s">
        <v>1221</v>
      </c>
      <c r="C4260" s="5">
        <v>41489</v>
      </c>
      <c r="D4260" s="5">
        <v>41549</v>
      </c>
      <c r="E4260" s="4" t="s">
        <v>7</v>
      </c>
      <c r="F4260" s="4" t="s">
        <v>808</v>
      </c>
    </row>
    <row r="4261" spans="1:6" x14ac:dyDescent="0.25">
      <c r="A4261" s="4" t="str">
        <f>CONCATENATE("3071-0000-2986","")</f>
        <v>3071-0000-2986</v>
      </c>
      <c r="B4261" s="4" t="s">
        <v>1206</v>
      </c>
      <c r="C4261" s="5">
        <v>41489</v>
      </c>
      <c r="D4261" s="5">
        <v>41549</v>
      </c>
      <c r="E4261" s="4" t="s">
        <v>7</v>
      </c>
      <c r="F4261" s="4" t="s">
        <v>808</v>
      </c>
    </row>
    <row r="4262" spans="1:6" x14ac:dyDescent="0.25">
      <c r="A4262" s="4" t="str">
        <f>CONCATENATE("3071-0000-2805","")</f>
        <v>3071-0000-2805</v>
      </c>
      <c r="B4262" s="4" t="s">
        <v>1052</v>
      </c>
      <c r="C4262" s="5">
        <v>41489</v>
      </c>
      <c r="D4262" s="5">
        <v>41549</v>
      </c>
      <c r="E4262" s="4" t="s">
        <v>7</v>
      </c>
      <c r="F4262" s="4" t="s">
        <v>808</v>
      </c>
    </row>
    <row r="4263" spans="1:6" x14ac:dyDescent="0.25">
      <c r="A4263" s="4" t="str">
        <f>CONCATENATE("3071-0000-0239","")</f>
        <v>3071-0000-0239</v>
      </c>
      <c r="B4263" s="4" t="s">
        <v>529</v>
      </c>
      <c r="C4263" s="5">
        <v>41489</v>
      </c>
      <c r="D4263" s="5">
        <v>41549</v>
      </c>
      <c r="E4263" s="4" t="s">
        <v>7</v>
      </c>
      <c r="F4263" s="4" t="s">
        <v>7</v>
      </c>
    </row>
    <row r="4264" spans="1:6" x14ac:dyDescent="0.25">
      <c r="A4264" s="4" t="str">
        <f>CONCATENATE("3071-0000-3080","")</f>
        <v>3071-0000-3080</v>
      </c>
      <c r="B4264" s="4" t="s">
        <v>947</v>
      </c>
      <c r="C4264" s="5">
        <v>41489</v>
      </c>
      <c r="D4264" s="5">
        <v>41549</v>
      </c>
      <c r="E4264" s="4" t="s">
        <v>7</v>
      </c>
      <c r="F4264" s="4" t="s">
        <v>808</v>
      </c>
    </row>
    <row r="4265" spans="1:6" x14ac:dyDescent="0.25">
      <c r="A4265" s="4" t="str">
        <f>CONCATENATE("3071-0000-3099","")</f>
        <v>3071-0000-3099</v>
      </c>
      <c r="B4265" s="4" t="s">
        <v>1228</v>
      </c>
      <c r="C4265" s="5">
        <v>41489</v>
      </c>
      <c r="D4265" s="5">
        <v>41549</v>
      </c>
      <c r="E4265" s="4" t="s">
        <v>7</v>
      </c>
      <c r="F4265" s="4" t="s">
        <v>808</v>
      </c>
    </row>
    <row r="4266" spans="1:6" x14ac:dyDescent="0.25">
      <c r="A4266" s="4" t="str">
        <f>CONCATENATE("3071-0000-2999","")</f>
        <v>3071-0000-2999</v>
      </c>
      <c r="B4266" s="4" t="s">
        <v>1215</v>
      </c>
      <c r="C4266" s="5">
        <v>41489</v>
      </c>
      <c r="D4266" s="5">
        <v>41549</v>
      </c>
      <c r="E4266" s="4" t="s">
        <v>7</v>
      </c>
      <c r="F4266" s="4" t="s">
        <v>808</v>
      </c>
    </row>
    <row r="4267" spans="1:6" x14ac:dyDescent="0.25">
      <c r="A4267" s="4" t="str">
        <f>CONCATENATE("3071-0000-3181","")</f>
        <v>3071-0000-3181</v>
      </c>
      <c r="B4267" s="4" t="s">
        <v>1176</v>
      </c>
      <c r="C4267" s="5">
        <v>41489</v>
      </c>
      <c r="D4267" s="5">
        <v>41549</v>
      </c>
      <c r="E4267" s="4" t="s">
        <v>7</v>
      </c>
      <c r="F4267" s="4" t="s">
        <v>808</v>
      </c>
    </row>
    <row r="4268" spans="1:6" x14ac:dyDescent="0.25">
      <c r="A4268" s="4" t="str">
        <f>CONCATENATE("3071-0000-2749","")</f>
        <v>3071-0000-2749</v>
      </c>
      <c r="B4268" s="4" t="s">
        <v>824</v>
      </c>
      <c r="C4268" s="5">
        <v>41489</v>
      </c>
      <c r="D4268" s="5">
        <v>41549</v>
      </c>
      <c r="E4268" s="4" t="s">
        <v>7</v>
      </c>
      <c r="F4268" s="4" t="s">
        <v>808</v>
      </c>
    </row>
    <row r="4269" spans="1:6" x14ac:dyDescent="0.25">
      <c r="A4269" s="4" t="str">
        <f>CONCATENATE("3071-0000-3113","")</f>
        <v>3071-0000-3113</v>
      </c>
      <c r="B4269" s="4" t="s">
        <v>960</v>
      </c>
      <c r="C4269" s="5">
        <v>41489</v>
      </c>
      <c r="D4269" s="5">
        <v>41549</v>
      </c>
      <c r="E4269" s="4" t="s">
        <v>7</v>
      </c>
      <c r="F4269" s="4" t="s">
        <v>808</v>
      </c>
    </row>
    <row r="4270" spans="1:6" x14ac:dyDescent="0.25">
      <c r="A4270" s="4" t="str">
        <f>CONCATENATE("3071-0000-0150","")</f>
        <v>3071-0000-0150</v>
      </c>
      <c r="B4270" s="4" t="s">
        <v>326</v>
      </c>
      <c r="C4270" s="5">
        <v>41489</v>
      </c>
      <c r="D4270" s="5">
        <v>41549</v>
      </c>
      <c r="E4270" s="4" t="s">
        <v>7</v>
      </c>
      <c r="F4270" s="4" t="s">
        <v>7</v>
      </c>
    </row>
    <row r="4271" spans="1:6" x14ac:dyDescent="0.25">
      <c r="A4271" s="4" t="str">
        <f>CONCATENATE("3071-0000-2951","")</f>
        <v>3071-0000-2951</v>
      </c>
      <c r="B4271" s="4" t="s">
        <v>1314</v>
      </c>
      <c r="C4271" s="5">
        <v>41489</v>
      </c>
      <c r="D4271" s="5">
        <v>41549</v>
      </c>
      <c r="E4271" s="4" t="s">
        <v>7</v>
      </c>
      <c r="F4271" s="4" t="s">
        <v>808</v>
      </c>
    </row>
    <row r="4272" spans="1:6" x14ac:dyDescent="0.25">
      <c r="A4272" s="4" t="str">
        <f>CONCATENATE("3071-0000-3316","")</f>
        <v>3071-0000-3316</v>
      </c>
      <c r="B4272" s="4" t="s">
        <v>1304</v>
      </c>
      <c r="C4272" s="5">
        <v>41489</v>
      </c>
      <c r="D4272" s="5">
        <v>41549</v>
      </c>
      <c r="E4272" s="4" t="s">
        <v>7</v>
      </c>
      <c r="F4272" s="4" t="s">
        <v>808</v>
      </c>
    </row>
    <row r="4273" spans="1:6" x14ac:dyDescent="0.25">
      <c r="A4273" s="4" t="str">
        <f>CONCATENATE("3071-0000-2942","")</f>
        <v>3071-0000-2942</v>
      </c>
      <c r="B4273" s="4" t="s">
        <v>1311</v>
      </c>
      <c r="C4273" s="5">
        <v>41489</v>
      </c>
      <c r="D4273" s="5">
        <v>41549</v>
      </c>
      <c r="E4273" s="4" t="s">
        <v>7</v>
      </c>
      <c r="F4273" s="4" t="s">
        <v>808</v>
      </c>
    </row>
    <row r="4274" spans="1:6" x14ac:dyDescent="0.25">
      <c r="A4274" s="4" t="str">
        <f>CONCATENATE("3071-0000-2950","")</f>
        <v>3071-0000-2950</v>
      </c>
      <c r="B4274" s="4" t="s">
        <v>1312</v>
      </c>
      <c r="C4274" s="5">
        <v>41489</v>
      </c>
      <c r="D4274" s="5">
        <v>41549</v>
      </c>
      <c r="E4274" s="4" t="s">
        <v>7</v>
      </c>
      <c r="F4274" s="4" t="s">
        <v>808</v>
      </c>
    </row>
    <row r="4275" spans="1:6" x14ac:dyDescent="0.25">
      <c r="A4275" s="4" t="str">
        <f>CONCATENATE("3071-0000-3251","")</f>
        <v>3071-0000-3251</v>
      </c>
      <c r="B4275" s="4" t="s">
        <v>1116</v>
      </c>
      <c r="C4275" s="5">
        <v>41489</v>
      </c>
      <c r="D4275" s="5">
        <v>41549</v>
      </c>
      <c r="E4275" s="4" t="s">
        <v>7</v>
      </c>
      <c r="F4275" s="4" t="s">
        <v>808</v>
      </c>
    </row>
    <row r="4276" spans="1:6" x14ac:dyDescent="0.25">
      <c r="A4276" s="4" t="str">
        <f>CONCATENATE("3071-0000-3139","")</f>
        <v>3071-0000-3139</v>
      </c>
      <c r="B4276" s="4" t="s">
        <v>1274</v>
      </c>
      <c r="C4276" s="5">
        <v>41489</v>
      </c>
      <c r="D4276" s="5">
        <v>41549</v>
      </c>
      <c r="E4276" s="4" t="s">
        <v>7</v>
      </c>
      <c r="F4276" s="4" t="s">
        <v>808</v>
      </c>
    </row>
    <row r="4277" spans="1:6" x14ac:dyDescent="0.25">
      <c r="A4277" s="4" t="str">
        <f>CONCATENATE("3071-0000-2920","")</f>
        <v>3071-0000-2920</v>
      </c>
      <c r="B4277" s="4" t="s">
        <v>1318</v>
      </c>
      <c r="C4277" s="5">
        <v>41489</v>
      </c>
      <c r="D4277" s="5">
        <v>41549</v>
      </c>
      <c r="E4277" s="4" t="s">
        <v>7</v>
      </c>
      <c r="F4277" s="4" t="s">
        <v>808</v>
      </c>
    </row>
    <row r="4278" spans="1:6" x14ac:dyDescent="0.25">
      <c r="A4278" s="4" t="str">
        <f>CONCATENATE("3071-0000-0132","")</f>
        <v>3071-0000-0132</v>
      </c>
      <c r="B4278" s="4" t="s">
        <v>283</v>
      </c>
      <c r="C4278" s="5">
        <v>41489</v>
      </c>
      <c r="D4278" s="5">
        <v>41549</v>
      </c>
      <c r="E4278" s="4" t="s">
        <v>7</v>
      </c>
      <c r="F4278" s="4" t="s">
        <v>7</v>
      </c>
    </row>
    <row r="4279" spans="1:6" x14ac:dyDescent="0.25">
      <c r="A4279" s="4" t="str">
        <f>CONCATENATE("3071-0000-3088","")</f>
        <v>3071-0000-3088</v>
      </c>
      <c r="B4279" s="4" t="s">
        <v>1244</v>
      </c>
      <c r="C4279" s="5">
        <v>41489</v>
      </c>
      <c r="D4279" s="5">
        <v>41549</v>
      </c>
      <c r="E4279" s="4" t="s">
        <v>7</v>
      </c>
      <c r="F4279" s="4" t="s">
        <v>808</v>
      </c>
    </row>
    <row r="4280" spans="1:6" x14ac:dyDescent="0.25">
      <c r="A4280" s="4" t="str">
        <f>CONCATENATE("3071-0000-0249","")</f>
        <v>3071-0000-0249</v>
      </c>
      <c r="B4280" s="4" t="s">
        <v>553</v>
      </c>
      <c r="C4280" s="5">
        <v>41489</v>
      </c>
      <c r="D4280" s="5">
        <v>41549</v>
      </c>
      <c r="E4280" s="4" t="s">
        <v>7</v>
      </c>
      <c r="F4280" s="4" t="s">
        <v>7</v>
      </c>
    </row>
    <row r="4281" spans="1:6" x14ac:dyDescent="0.25">
      <c r="A4281" s="4" t="str">
        <f>CONCATENATE("3071-0000-2940","")</f>
        <v>3071-0000-2940</v>
      </c>
      <c r="B4281" s="4" t="s">
        <v>1316</v>
      </c>
      <c r="C4281" s="5">
        <v>41489</v>
      </c>
      <c r="D4281" s="5">
        <v>41549</v>
      </c>
      <c r="E4281" s="4" t="s">
        <v>7</v>
      </c>
      <c r="F4281" s="4" t="s">
        <v>808</v>
      </c>
    </row>
    <row r="4282" spans="1:6" x14ac:dyDescent="0.25">
      <c r="A4282" s="4" t="str">
        <f>CONCATENATE("3071-0000-0285","")</f>
        <v>3071-0000-0285</v>
      </c>
      <c r="B4282" s="4" t="s">
        <v>677</v>
      </c>
      <c r="C4282" s="5">
        <v>41489</v>
      </c>
      <c r="D4282" s="5">
        <v>41549</v>
      </c>
      <c r="E4282" s="4" t="s">
        <v>7</v>
      </c>
      <c r="F4282" s="4" t="s">
        <v>7</v>
      </c>
    </row>
    <row r="4283" spans="1:6" x14ac:dyDescent="0.25">
      <c r="A4283" s="4" t="str">
        <f>CONCATENATE("3071-0000-2918","")</f>
        <v>3071-0000-2918</v>
      </c>
      <c r="B4283" s="4" t="s">
        <v>1350</v>
      </c>
      <c r="C4283" s="5">
        <v>41489</v>
      </c>
      <c r="D4283" s="5">
        <v>41549</v>
      </c>
      <c r="E4283" s="4" t="s">
        <v>7</v>
      </c>
      <c r="F4283" s="4" t="s">
        <v>808</v>
      </c>
    </row>
    <row r="4284" spans="1:6" x14ac:dyDescent="0.25">
      <c r="A4284" s="4" t="str">
        <f>CONCATENATE("3071-0000-2260","")</f>
        <v>3071-0000-2260</v>
      </c>
      <c r="B4284" s="4" t="s">
        <v>3339</v>
      </c>
      <c r="C4284" s="5">
        <v>41489</v>
      </c>
      <c r="D4284" s="5">
        <v>41549</v>
      </c>
      <c r="E4284" s="4" t="s">
        <v>2944</v>
      </c>
      <c r="F4284" s="4" t="s">
        <v>2945</v>
      </c>
    </row>
    <row r="4285" spans="1:6" x14ac:dyDescent="0.25">
      <c r="A4285" s="4" t="str">
        <f>CONCATENATE("3071-0000-1805","")</f>
        <v>3071-0000-1805</v>
      </c>
      <c r="B4285" s="4" t="s">
        <v>2506</v>
      </c>
      <c r="C4285" s="5">
        <v>41489</v>
      </c>
      <c r="D4285" s="5">
        <v>41549</v>
      </c>
      <c r="E4285" s="4" t="s">
        <v>1381</v>
      </c>
      <c r="F4285" s="4" t="s">
        <v>2303</v>
      </c>
    </row>
    <row r="4286" spans="1:6" x14ac:dyDescent="0.25">
      <c r="A4286" s="4" t="str">
        <f>CONCATENATE("3071-0000-2220","")</f>
        <v>3071-0000-2220</v>
      </c>
      <c r="B4286" s="4" t="s">
        <v>3720</v>
      </c>
      <c r="C4286" s="5">
        <v>41489</v>
      </c>
      <c r="D4286" s="5">
        <v>41549</v>
      </c>
      <c r="E4286" s="4" t="s">
        <v>2944</v>
      </c>
      <c r="F4286" s="4" t="s">
        <v>2945</v>
      </c>
    </row>
    <row r="4287" spans="1:6" x14ac:dyDescent="0.25">
      <c r="A4287" s="4" t="str">
        <f>CONCATENATE("3071-0000-9188","")</f>
        <v>3071-0000-9188</v>
      </c>
      <c r="B4287" s="4" t="s">
        <v>6164</v>
      </c>
      <c r="C4287" s="5">
        <v>41489</v>
      </c>
      <c r="D4287" s="5">
        <v>41549</v>
      </c>
      <c r="E4287" s="4" t="s">
        <v>5185</v>
      </c>
      <c r="F4287" s="4" t="s">
        <v>5945</v>
      </c>
    </row>
    <row r="4288" spans="1:6" x14ac:dyDescent="0.25">
      <c r="A4288" s="4" t="str">
        <f>CONCATENATE("3071-0000-2414","")</f>
        <v>3071-0000-2414</v>
      </c>
      <c r="B4288" s="4" t="s">
        <v>2997</v>
      </c>
      <c r="C4288" s="5">
        <v>41489</v>
      </c>
      <c r="D4288" s="5">
        <v>41549</v>
      </c>
      <c r="E4288" s="4" t="s">
        <v>2944</v>
      </c>
      <c r="F4288" s="4" t="s">
        <v>2945</v>
      </c>
    </row>
    <row r="4289" spans="1:6" x14ac:dyDescent="0.25">
      <c r="A4289" s="4" t="str">
        <f>CONCATENATE("3071-0000-2252","")</f>
        <v>3071-0000-2252</v>
      </c>
      <c r="B4289" s="4" t="s">
        <v>3708</v>
      </c>
      <c r="C4289" s="5">
        <v>41489</v>
      </c>
      <c r="D4289" s="5">
        <v>41549</v>
      </c>
      <c r="E4289" s="4" t="s">
        <v>2944</v>
      </c>
      <c r="F4289" s="4" t="s">
        <v>2945</v>
      </c>
    </row>
    <row r="4290" spans="1:6" x14ac:dyDescent="0.25">
      <c r="A4290" s="4" t="str">
        <f>CONCATENATE("3071-0000-9184","")</f>
        <v>3071-0000-9184</v>
      </c>
      <c r="B4290" s="4" t="s">
        <v>6162</v>
      </c>
      <c r="C4290" s="5">
        <v>41489</v>
      </c>
      <c r="D4290" s="5">
        <v>41549</v>
      </c>
      <c r="E4290" s="4" t="s">
        <v>5185</v>
      </c>
      <c r="F4290" s="4" t="s">
        <v>5945</v>
      </c>
    </row>
    <row r="4291" spans="1:6" x14ac:dyDescent="0.25">
      <c r="A4291" s="4" t="str">
        <f>CONCATENATE("3071-0000-2455","")</f>
        <v>3071-0000-2455</v>
      </c>
      <c r="B4291" s="4" t="s">
        <v>3409</v>
      </c>
      <c r="C4291" s="5">
        <v>41489</v>
      </c>
      <c r="D4291" s="5">
        <v>41549</v>
      </c>
      <c r="E4291" s="4" t="s">
        <v>1857</v>
      </c>
      <c r="F4291" s="4" t="s">
        <v>3306</v>
      </c>
    </row>
    <row r="4292" spans="1:6" x14ac:dyDescent="0.25">
      <c r="A4292" s="4" t="str">
        <f>CONCATENATE("3071-0000-2542","")</f>
        <v>3071-0000-2542</v>
      </c>
      <c r="B4292" s="4" t="s">
        <v>3413</v>
      </c>
      <c r="C4292" s="5">
        <v>41489</v>
      </c>
      <c r="D4292" s="5">
        <v>41549</v>
      </c>
      <c r="E4292" s="4" t="s">
        <v>1857</v>
      </c>
      <c r="F4292" s="4" t="s">
        <v>3306</v>
      </c>
    </row>
    <row r="4293" spans="1:6" x14ac:dyDescent="0.25">
      <c r="A4293" s="4" t="str">
        <f>CONCATENATE("3071-0000-9009","")</f>
        <v>3071-0000-9009</v>
      </c>
      <c r="B4293" s="4" t="s">
        <v>5727</v>
      </c>
      <c r="C4293" s="5">
        <v>41489</v>
      </c>
      <c r="D4293" s="5">
        <v>41549</v>
      </c>
      <c r="E4293" s="4" t="s">
        <v>5185</v>
      </c>
      <c r="F4293" s="4" t="s">
        <v>5250</v>
      </c>
    </row>
    <row r="4294" spans="1:6" x14ac:dyDescent="0.25">
      <c r="A4294" s="4" t="str">
        <f>CONCATENATE("3071-0000-7944","")</f>
        <v>3071-0000-7944</v>
      </c>
      <c r="B4294" s="4" t="s">
        <v>5579</v>
      </c>
      <c r="C4294" s="5">
        <v>41489</v>
      </c>
      <c r="D4294" s="5">
        <v>41549</v>
      </c>
      <c r="E4294" s="4" t="s">
        <v>5185</v>
      </c>
      <c r="F4294" s="4" t="s">
        <v>5185</v>
      </c>
    </row>
    <row r="4295" spans="1:6" x14ac:dyDescent="0.25">
      <c r="A4295" s="4" t="str">
        <f>CONCATENATE("3071-0000-8996","")</f>
        <v>3071-0000-8996</v>
      </c>
      <c r="B4295" s="4" t="s">
        <v>6352</v>
      </c>
      <c r="C4295" s="5">
        <v>41489</v>
      </c>
      <c r="D4295" s="5">
        <v>41549</v>
      </c>
      <c r="E4295" s="4" t="s">
        <v>5185</v>
      </c>
      <c r="F4295" s="4" t="s">
        <v>5292</v>
      </c>
    </row>
    <row r="4296" spans="1:6" x14ac:dyDescent="0.25">
      <c r="A4296" s="4" t="str">
        <f>CONCATENATE("3071-0000-1721","")</f>
        <v>3071-0000-1721</v>
      </c>
      <c r="B4296" s="4" t="s">
        <v>2560</v>
      </c>
      <c r="C4296" s="5">
        <v>41489</v>
      </c>
      <c r="D4296" s="5">
        <v>41549</v>
      </c>
      <c r="E4296" s="4" t="s">
        <v>1381</v>
      </c>
      <c r="F4296" s="4" t="s">
        <v>2303</v>
      </c>
    </row>
    <row r="4297" spans="1:6" x14ac:dyDescent="0.25">
      <c r="A4297" s="4" t="str">
        <f>CONCATENATE("3071-0000-1813","")</f>
        <v>3071-0000-1813</v>
      </c>
      <c r="B4297" s="4" t="s">
        <v>2540</v>
      </c>
      <c r="C4297" s="5">
        <v>41489</v>
      </c>
      <c r="D4297" s="5">
        <v>41549</v>
      </c>
      <c r="E4297" s="4" t="s">
        <v>1381</v>
      </c>
      <c r="F4297" s="4" t="s">
        <v>2303</v>
      </c>
    </row>
    <row r="4298" spans="1:6" x14ac:dyDescent="0.25">
      <c r="A4298" s="4" t="str">
        <f>CONCATENATE("3071-0000-0075","")</f>
        <v>3071-0000-0075</v>
      </c>
      <c r="B4298" s="4" t="s">
        <v>141</v>
      </c>
      <c r="C4298" s="5">
        <v>41489</v>
      </c>
      <c r="D4298" s="5">
        <v>41549</v>
      </c>
      <c r="E4298" s="4" t="s">
        <v>7</v>
      </c>
      <c r="F4298" s="4" t="s">
        <v>7</v>
      </c>
    </row>
    <row r="4299" spans="1:6" x14ac:dyDescent="0.25">
      <c r="A4299" s="4" t="str">
        <f>CONCATENATE("3071-0000-1718","")</f>
        <v>3071-0000-1718</v>
      </c>
      <c r="B4299" s="4" t="s">
        <v>2544</v>
      </c>
      <c r="C4299" s="5">
        <v>41489</v>
      </c>
      <c r="D4299" s="5">
        <v>41549</v>
      </c>
      <c r="E4299" s="4" t="s">
        <v>1381</v>
      </c>
      <c r="F4299" s="4" t="s">
        <v>2303</v>
      </c>
    </row>
    <row r="4300" spans="1:6" x14ac:dyDescent="0.25">
      <c r="A4300" s="4" t="str">
        <f>CONCATENATE("3071-0000-1853","")</f>
        <v>3071-0000-1853</v>
      </c>
      <c r="B4300" s="4" t="s">
        <v>2741</v>
      </c>
      <c r="C4300" s="5">
        <v>41489</v>
      </c>
      <c r="D4300" s="5">
        <v>41549</v>
      </c>
      <c r="E4300" s="4" t="s">
        <v>1381</v>
      </c>
      <c r="F4300" s="4" t="s">
        <v>2662</v>
      </c>
    </row>
    <row r="4301" spans="1:6" x14ac:dyDescent="0.25">
      <c r="A4301" s="4" t="str">
        <f>CONCATENATE("3071-0000-1869","")</f>
        <v>3071-0000-1869</v>
      </c>
      <c r="B4301" s="4" t="s">
        <v>2740</v>
      </c>
      <c r="C4301" s="5">
        <v>41489</v>
      </c>
      <c r="D4301" s="5">
        <v>41549</v>
      </c>
      <c r="E4301" s="4" t="s">
        <v>1381</v>
      </c>
      <c r="F4301" s="4" t="s">
        <v>2662</v>
      </c>
    </row>
    <row r="4302" spans="1:6" x14ac:dyDescent="0.25">
      <c r="A4302" s="4" t="str">
        <f>CONCATENATE("3071-0000-4102","")</f>
        <v>3071-0000-4102</v>
      </c>
      <c r="B4302" s="4" t="s">
        <v>4147</v>
      </c>
      <c r="C4302" s="5">
        <v>41489</v>
      </c>
      <c r="D4302" s="5">
        <v>41549</v>
      </c>
      <c r="E4302" s="4" t="s">
        <v>7</v>
      </c>
      <c r="F4302" s="4" t="s">
        <v>1419</v>
      </c>
    </row>
    <row r="4303" spans="1:6" x14ac:dyDescent="0.25">
      <c r="A4303" s="4" t="str">
        <f>CONCATENATE("3071-0000-1374","")</f>
        <v>3071-0000-1374</v>
      </c>
      <c r="B4303" s="4" t="s">
        <v>2542</v>
      </c>
      <c r="C4303" s="5">
        <v>41489</v>
      </c>
      <c r="D4303" s="5">
        <v>41549</v>
      </c>
      <c r="E4303" s="4" t="s">
        <v>1381</v>
      </c>
      <c r="F4303" s="4" t="s">
        <v>2303</v>
      </c>
    </row>
    <row r="4304" spans="1:6" x14ac:dyDescent="0.25">
      <c r="A4304" s="4" t="str">
        <f>CONCATENATE("3071-0000-5087","")</f>
        <v>3071-0000-5087</v>
      </c>
      <c r="B4304" s="4" t="s">
        <v>8758</v>
      </c>
      <c r="C4304" s="5">
        <v>41489</v>
      </c>
      <c r="D4304" s="5">
        <v>41549</v>
      </c>
      <c r="E4304" s="4" t="s">
        <v>1410</v>
      </c>
      <c r="F4304" s="4" t="s">
        <v>8696</v>
      </c>
    </row>
    <row r="4305" spans="1:6" x14ac:dyDescent="0.25">
      <c r="A4305" s="4" t="str">
        <f>CONCATENATE("3071-0000-3792","")</f>
        <v>3071-0000-3792</v>
      </c>
      <c r="B4305" s="4" t="s">
        <v>3915</v>
      </c>
      <c r="C4305" s="5">
        <v>41489</v>
      </c>
      <c r="D4305" s="5">
        <v>41549</v>
      </c>
      <c r="E4305" s="4" t="s">
        <v>2944</v>
      </c>
      <c r="F4305" s="4" t="s">
        <v>3513</v>
      </c>
    </row>
    <row r="4306" spans="1:6" x14ac:dyDescent="0.25">
      <c r="A4306" s="4" t="str">
        <f>CONCATENATE("3071-0000-3958","")</f>
        <v>3071-0000-3958</v>
      </c>
      <c r="B4306" s="4" t="s">
        <v>4172</v>
      </c>
      <c r="C4306" s="5">
        <v>41489</v>
      </c>
      <c r="D4306" s="5">
        <v>41549</v>
      </c>
      <c r="E4306" s="4" t="s">
        <v>2944</v>
      </c>
      <c r="F4306" s="4" t="s">
        <v>3513</v>
      </c>
    </row>
    <row r="4307" spans="1:6" x14ac:dyDescent="0.25">
      <c r="A4307" s="4" t="str">
        <f>CONCATENATE("3071-0000-3491","")</f>
        <v>3071-0000-3491</v>
      </c>
      <c r="B4307" s="4" t="s">
        <v>1787</v>
      </c>
      <c r="C4307" s="5">
        <v>41489</v>
      </c>
      <c r="D4307" s="5">
        <v>41549</v>
      </c>
      <c r="E4307" s="4" t="s">
        <v>1410</v>
      </c>
      <c r="F4307" s="4" t="s">
        <v>1411</v>
      </c>
    </row>
    <row r="4308" spans="1:6" x14ac:dyDescent="0.25">
      <c r="A4308" s="4" t="str">
        <f>CONCATENATE("3071-0000-3684","")</f>
        <v>3071-0000-3684</v>
      </c>
      <c r="B4308" s="4" t="s">
        <v>1573</v>
      </c>
      <c r="C4308" s="5">
        <v>41489</v>
      </c>
      <c r="D4308" s="5">
        <v>41549</v>
      </c>
      <c r="E4308" s="4" t="s">
        <v>1410</v>
      </c>
      <c r="F4308" s="4" t="s">
        <v>1411</v>
      </c>
    </row>
    <row r="4309" spans="1:6" x14ac:dyDescent="0.25">
      <c r="A4309" s="4" t="str">
        <f>CONCATENATE("3071-0000-0523","")</f>
        <v>3071-0000-0523</v>
      </c>
      <c r="B4309" s="4" t="s">
        <v>86</v>
      </c>
      <c r="C4309" s="5">
        <v>41489</v>
      </c>
      <c r="D4309" s="5">
        <v>41549</v>
      </c>
      <c r="E4309" s="4" t="s">
        <v>7</v>
      </c>
      <c r="F4309" s="4" t="s">
        <v>7</v>
      </c>
    </row>
    <row r="4310" spans="1:6" x14ac:dyDescent="0.25">
      <c r="A4310" s="4" t="str">
        <f>CONCATENATE("3071-0000-0530","")</f>
        <v>3071-0000-0530</v>
      </c>
      <c r="B4310" s="4" t="s">
        <v>653</v>
      </c>
      <c r="C4310" s="5">
        <v>41489</v>
      </c>
      <c r="D4310" s="5">
        <v>41549</v>
      </c>
      <c r="E4310" s="4" t="s">
        <v>7</v>
      </c>
      <c r="F4310" s="4" t="s">
        <v>7</v>
      </c>
    </row>
    <row r="4311" spans="1:6" x14ac:dyDescent="0.25">
      <c r="A4311" s="4" t="str">
        <f>CONCATENATE("3071-0000-5688","")</f>
        <v>3071-0000-5688</v>
      </c>
      <c r="B4311" s="4" t="s">
        <v>7413</v>
      </c>
      <c r="C4311" s="5">
        <v>41489</v>
      </c>
      <c r="D4311" s="5">
        <v>41549</v>
      </c>
      <c r="E4311" s="4" t="s">
        <v>5185</v>
      </c>
      <c r="F4311" s="4" t="s">
        <v>5185</v>
      </c>
    </row>
    <row r="4312" spans="1:6" x14ac:dyDescent="0.25">
      <c r="A4312" s="4" t="str">
        <f>CONCATENATE("3071-0000-2495","")</f>
        <v>3071-0000-2495</v>
      </c>
      <c r="B4312" s="4" t="s">
        <v>3592</v>
      </c>
      <c r="C4312" s="5">
        <v>41489</v>
      </c>
      <c r="D4312" s="5">
        <v>41549</v>
      </c>
      <c r="E4312" s="4" t="s">
        <v>2944</v>
      </c>
      <c r="F4312" s="4" t="s">
        <v>3593</v>
      </c>
    </row>
    <row r="4313" spans="1:6" x14ac:dyDescent="0.25">
      <c r="A4313" s="4" t="str">
        <f>CONCATENATE("3071-0000-8345","")</f>
        <v>3071-0000-8345</v>
      </c>
      <c r="B4313" s="4" t="s">
        <v>5859</v>
      </c>
      <c r="C4313" s="5">
        <v>41489</v>
      </c>
      <c r="D4313" s="5">
        <v>41549</v>
      </c>
      <c r="E4313" s="4" t="s">
        <v>5185</v>
      </c>
      <c r="F4313" s="4" t="s">
        <v>5185</v>
      </c>
    </row>
    <row r="4314" spans="1:6" x14ac:dyDescent="0.25">
      <c r="A4314" s="4" t="str">
        <f>CONCATENATE("3071-0000-7575","")</f>
        <v>3071-0000-7575</v>
      </c>
      <c r="B4314" s="4" t="s">
        <v>4565</v>
      </c>
      <c r="C4314" s="5">
        <v>41489</v>
      </c>
      <c r="D4314" s="5">
        <v>41549</v>
      </c>
      <c r="E4314" s="4" t="s">
        <v>1410</v>
      </c>
      <c r="F4314" s="4" t="s">
        <v>1410</v>
      </c>
    </row>
    <row r="4315" spans="1:6" x14ac:dyDescent="0.25">
      <c r="A4315" s="4" t="str">
        <f>CONCATENATE("3071-0000-7601","")</f>
        <v>3071-0000-7601</v>
      </c>
      <c r="B4315" s="4" t="s">
        <v>4637</v>
      </c>
      <c r="C4315" s="5">
        <v>41489</v>
      </c>
      <c r="D4315" s="5">
        <v>41549</v>
      </c>
      <c r="E4315" s="4" t="s">
        <v>1410</v>
      </c>
      <c r="F4315" s="4" t="s">
        <v>1410</v>
      </c>
    </row>
    <row r="4316" spans="1:6" x14ac:dyDescent="0.25">
      <c r="A4316" s="4" t="str">
        <f>CONCATENATE("3071-0000-5924","")</f>
        <v>3071-0000-5924</v>
      </c>
      <c r="B4316" s="4" t="s">
        <v>7468</v>
      </c>
      <c r="C4316" s="5">
        <v>41489</v>
      </c>
      <c r="D4316" s="5">
        <v>41549</v>
      </c>
      <c r="E4316" s="4" t="s">
        <v>5185</v>
      </c>
      <c r="F4316" s="4" t="s">
        <v>5185</v>
      </c>
    </row>
    <row r="4317" spans="1:6" x14ac:dyDescent="0.25">
      <c r="A4317" s="4" t="str">
        <f>CONCATENATE("3071-0000-5826","")</f>
        <v>3071-0000-5826</v>
      </c>
      <c r="B4317" s="4" t="s">
        <v>7625</v>
      </c>
      <c r="C4317" s="5">
        <v>41489</v>
      </c>
      <c r="D4317" s="5">
        <v>41549</v>
      </c>
      <c r="E4317" s="4" t="s">
        <v>5185</v>
      </c>
      <c r="F4317" s="4" t="s">
        <v>5185</v>
      </c>
    </row>
    <row r="4318" spans="1:6" x14ac:dyDescent="0.25">
      <c r="A4318" s="4" t="str">
        <f>CONCATENATE("3071-0000-5825","")</f>
        <v>3071-0000-5825</v>
      </c>
      <c r="B4318" s="4" t="s">
        <v>7624</v>
      </c>
      <c r="C4318" s="5">
        <v>41489</v>
      </c>
      <c r="D4318" s="5">
        <v>41549</v>
      </c>
      <c r="E4318" s="4" t="s">
        <v>5185</v>
      </c>
      <c r="F4318" s="4" t="s">
        <v>5185</v>
      </c>
    </row>
    <row r="4319" spans="1:6" x14ac:dyDescent="0.25">
      <c r="A4319" s="4" t="str">
        <f>CONCATENATE("3071-0000-7761","")</f>
        <v>3071-0000-7761</v>
      </c>
      <c r="B4319" s="4" t="s">
        <v>4634</v>
      </c>
      <c r="C4319" s="5">
        <v>41489</v>
      </c>
      <c r="D4319" s="5">
        <v>41549</v>
      </c>
      <c r="E4319" s="4" t="s">
        <v>1410</v>
      </c>
      <c r="F4319" s="4" t="s">
        <v>1410</v>
      </c>
    </row>
    <row r="4320" spans="1:6" x14ac:dyDescent="0.25">
      <c r="A4320" s="4" t="str">
        <f>CONCATENATE("3071-0000-5865","")</f>
        <v>3071-0000-5865</v>
      </c>
      <c r="B4320" s="4" t="s">
        <v>7355</v>
      </c>
      <c r="C4320" s="5">
        <v>41489</v>
      </c>
      <c r="D4320" s="5">
        <v>41549</v>
      </c>
      <c r="E4320" s="4" t="s">
        <v>5185</v>
      </c>
      <c r="F4320" s="4" t="s">
        <v>5185</v>
      </c>
    </row>
    <row r="4321" spans="1:6" x14ac:dyDescent="0.25">
      <c r="A4321" s="4" t="str">
        <f>CONCATENATE("3071-0000-3724","")</f>
        <v>3071-0000-3724</v>
      </c>
      <c r="B4321" s="4" t="s">
        <v>1433</v>
      </c>
      <c r="C4321" s="5">
        <v>41489</v>
      </c>
      <c r="D4321" s="5">
        <v>41549</v>
      </c>
      <c r="E4321" s="4" t="s">
        <v>1410</v>
      </c>
      <c r="F4321" s="4" t="s">
        <v>1411</v>
      </c>
    </row>
    <row r="4322" spans="1:6" x14ac:dyDescent="0.25">
      <c r="A4322" s="4" t="str">
        <f>CONCATENATE("3071-0000-8299","")</f>
        <v>3071-0000-8299</v>
      </c>
      <c r="B4322" s="4" t="s">
        <v>6239</v>
      </c>
      <c r="C4322" s="5">
        <v>41489</v>
      </c>
      <c r="D4322" s="5">
        <v>41549</v>
      </c>
      <c r="E4322" s="4" t="s">
        <v>5185</v>
      </c>
      <c r="F4322" s="4" t="s">
        <v>5185</v>
      </c>
    </row>
    <row r="4323" spans="1:6" x14ac:dyDescent="0.25">
      <c r="A4323" s="4" t="str">
        <f>CONCATENATE("3071-0000-5929","")</f>
        <v>3071-0000-5929</v>
      </c>
      <c r="B4323" s="4" t="s">
        <v>7473</v>
      </c>
      <c r="C4323" s="5">
        <v>41489</v>
      </c>
      <c r="D4323" s="5">
        <v>41549</v>
      </c>
      <c r="E4323" s="4" t="s">
        <v>5185</v>
      </c>
      <c r="F4323" s="4" t="s">
        <v>5185</v>
      </c>
    </row>
    <row r="4324" spans="1:6" x14ac:dyDescent="0.25">
      <c r="A4324" s="4" t="str">
        <f>CONCATENATE("3071-0000-1780","")</f>
        <v>3071-0000-1780</v>
      </c>
      <c r="B4324" s="4" t="s">
        <v>2705</v>
      </c>
      <c r="C4324" s="5">
        <v>41489</v>
      </c>
      <c r="D4324" s="5">
        <v>41549</v>
      </c>
      <c r="E4324" s="4" t="s">
        <v>1381</v>
      </c>
      <c r="F4324" s="4" t="s">
        <v>2662</v>
      </c>
    </row>
    <row r="4325" spans="1:6" x14ac:dyDescent="0.25">
      <c r="A4325" s="4" t="str">
        <f>CONCATENATE("3071-0000-8398","")</f>
        <v>3071-0000-8398</v>
      </c>
      <c r="B4325" s="4" t="s">
        <v>5699</v>
      </c>
      <c r="C4325" s="5">
        <v>41489</v>
      </c>
      <c r="D4325" s="5">
        <v>41549</v>
      </c>
      <c r="E4325" s="4" t="s">
        <v>5185</v>
      </c>
      <c r="F4325" s="4" t="s">
        <v>5185</v>
      </c>
    </row>
    <row r="4326" spans="1:6" x14ac:dyDescent="0.25">
      <c r="A4326" s="4" t="str">
        <f>CONCATENATE("3071-0000-6102","")</f>
        <v>3071-0000-6102</v>
      </c>
      <c r="B4326" s="4" t="s">
        <v>7701</v>
      </c>
      <c r="C4326" s="5">
        <v>41489</v>
      </c>
      <c r="D4326" s="5">
        <v>41549</v>
      </c>
      <c r="E4326" s="4" t="s">
        <v>1410</v>
      </c>
      <c r="F4326" s="4" t="s">
        <v>1410</v>
      </c>
    </row>
    <row r="4327" spans="1:6" x14ac:dyDescent="0.25">
      <c r="A4327" s="4" t="str">
        <f>CONCATENATE("3071-0000-6121","")</f>
        <v>3071-0000-6121</v>
      </c>
      <c r="B4327" s="4" t="s">
        <v>7643</v>
      </c>
      <c r="C4327" s="5">
        <v>41489</v>
      </c>
      <c r="D4327" s="5">
        <v>41549</v>
      </c>
      <c r="E4327" s="4" t="s">
        <v>1410</v>
      </c>
      <c r="F4327" s="4" t="s">
        <v>1410</v>
      </c>
    </row>
    <row r="4328" spans="1:6" x14ac:dyDescent="0.25">
      <c r="A4328" s="4" t="str">
        <f>CONCATENATE("3071-0000-0238","")</f>
        <v>3071-0000-0238</v>
      </c>
      <c r="B4328" s="4" t="s">
        <v>528</v>
      </c>
      <c r="C4328" s="5">
        <v>41489</v>
      </c>
      <c r="D4328" s="5">
        <v>41549</v>
      </c>
      <c r="E4328" s="4" t="s">
        <v>7</v>
      </c>
      <c r="F4328" s="4" t="s">
        <v>7</v>
      </c>
    </row>
    <row r="4329" spans="1:6" x14ac:dyDescent="0.25">
      <c r="A4329" s="4" t="str">
        <f>CONCATENATE("3071-0000-6255","")</f>
        <v>3071-0000-6255</v>
      </c>
      <c r="B4329" s="4" t="s">
        <v>7628</v>
      </c>
      <c r="C4329" s="5">
        <v>41489</v>
      </c>
      <c r="D4329" s="5">
        <v>41549</v>
      </c>
      <c r="E4329" s="4" t="s">
        <v>1410</v>
      </c>
      <c r="F4329" s="4" t="s">
        <v>1410</v>
      </c>
    </row>
    <row r="4330" spans="1:6" x14ac:dyDescent="0.25">
      <c r="A4330" s="4" t="str">
        <f>CONCATENATE("3071-0000-5908","")</f>
        <v>3071-0000-5908</v>
      </c>
      <c r="B4330" s="4" t="s">
        <v>7614</v>
      </c>
      <c r="C4330" s="5">
        <v>41489</v>
      </c>
      <c r="D4330" s="5">
        <v>41549</v>
      </c>
      <c r="E4330" s="4" t="s">
        <v>5185</v>
      </c>
      <c r="F4330" s="4" t="s">
        <v>5185</v>
      </c>
    </row>
    <row r="4331" spans="1:6" x14ac:dyDescent="0.25">
      <c r="A4331" s="4" t="str">
        <f>CONCATENATE("3071-0000-6161","")</f>
        <v>3071-0000-6161</v>
      </c>
      <c r="B4331" s="4" t="s">
        <v>7675</v>
      </c>
      <c r="C4331" s="5">
        <v>41489</v>
      </c>
      <c r="D4331" s="5">
        <v>41549</v>
      </c>
      <c r="E4331" s="4" t="s">
        <v>1410</v>
      </c>
      <c r="F4331" s="4" t="s">
        <v>1410</v>
      </c>
    </row>
    <row r="4332" spans="1:6" x14ac:dyDescent="0.25">
      <c r="A4332" s="4" t="str">
        <f>CONCATENATE("3071-0000-5962","")</f>
        <v>3071-0000-5962</v>
      </c>
      <c r="B4332" s="4" t="s">
        <v>7601</v>
      </c>
      <c r="C4332" s="5">
        <v>41489</v>
      </c>
      <c r="D4332" s="5">
        <v>41549</v>
      </c>
      <c r="E4332" s="4" t="s">
        <v>5185</v>
      </c>
      <c r="F4332" s="4" t="s">
        <v>5185</v>
      </c>
    </row>
    <row r="4333" spans="1:6" x14ac:dyDescent="0.25">
      <c r="A4333" s="4" t="str">
        <f>CONCATENATE("3071-0000-6134","")</f>
        <v>3071-0000-6134</v>
      </c>
      <c r="B4333" s="4" t="s">
        <v>7662</v>
      </c>
      <c r="C4333" s="5">
        <v>41489</v>
      </c>
      <c r="D4333" s="5">
        <v>41549</v>
      </c>
      <c r="E4333" s="4" t="s">
        <v>1410</v>
      </c>
      <c r="F4333" s="4" t="s">
        <v>1410</v>
      </c>
    </row>
    <row r="4334" spans="1:6" x14ac:dyDescent="0.25">
      <c r="A4334" s="4" t="str">
        <f>CONCATENATE("3071-0000-5890","")</f>
        <v>3071-0000-5890</v>
      </c>
      <c r="B4334" s="4" t="s">
        <v>7577</v>
      </c>
      <c r="C4334" s="5">
        <v>41489</v>
      </c>
      <c r="D4334" s="5">
        <v>41549</v>
      </c>
      <c r="E4334" s="4" t="s">
        <v>5185</v>
      </c>
      <c r="F4334" s="4" t="s">
        <v>5185</v>
      </c>
    </row>
    <row r="4335" spans="1:6" x14ac:dyDescent="0.25">
      <c r="A4335" s="4" t="str">
        <f>CONCATENATE("3071-0000-5747","")</f>
        <v>3071-0000-5747</v>
      </c>
      <c r="B4335" s="4" t="s">
        <v>7533</v>
      </c>
      <c r="C4335" s="5">
        <v>41489</v>
      </c>
      <c r="D4335" s="5">
        <v>41549</v>
      </c>
      <c r="E4335" s="4" t="s">
        <v>5185</v>
      </c>
      <c r="F4335" s="4" t="s">
        <v>5185</v>
      </c>
    </row>
    <row r="4336" spans="1:6" x14ac:dyDescent="0.25">
      <c r="A4336" s="4" t="str">
        <f>CONCATENATE("3071-0000-5679","")</f>
        <v>3071-0000-5679</v>
      </c>
      <c r="B4336" s="4" t="s">
        <v>7550</v>
      </c>
      <c r="C4336" s="5">
        <v>41489</v>
      </c>
      <c r="D4336" s="5">
        <v>41549</v>
      </c>
      <c r="E4336" s="4" t="s">
        <v>5185</v>
      </c>
      <c r="F4336" s="4" t="s">
        <v>5185</v>
      </c>
    </row>
    <row r="4337" spans="1:6" x14ac:dyDescent="0.25">
      <c r="A4337" s="4" t="str">
        <f>CONCATENATE("3071-0000-7540","")</f>
        <v>3071-0000-7540</v>
      </c>
      <c r="B4337" s="4" t="s">
        <v>4442</v>
      </c>
      <c r="C4337" s="5">
        <v>41489</v>
      </c>
      <c r="D4337" s="5">
        <v>41549</v>
      </c>
      <c r="E4337" s="4" t="s">
        <v>1410</v>
      </c>
      <c r="F4337" s="4" t="s">
        <v>1410</v>
      </c>
    </row>
    <row r="4338" spans="1:6" x14ac:dyDescent="0.25">
      <c r="A4338" s="4" t="str">
        <f>CONCATENATE("3071-0000-6039","")</f>
        <v>3071-0000-6039</v>
      </c>
      <c r="B4338" s="4" t="s">
        <v>7551</v>
      </c>
      <c r="C4338" s="5">
        <v>41489</v>
      </c>
      <c r="D4338" s="5">
        <v>41549</v>
      </c>
      <c r="E4338" s="4" t="s">
        <v>1410</v>
      </c>
      <c r="F4338" s="4" t="s">
        <v>1410</v>
      </c>
    </row>
    <row r="4339" spans="1:6" x14ac:dyDescent="0.25">
      <c r="A4339" s="4" t="str">
        <f>CONCATENATE("3071-0000-7427","")</f>
        <v>3071-0000-7427</v>
      </c>
      <c r="B4339" s="4" t="s">
        <v>4639</v>
      </c>
      <c r="C4339" s="5">
        <v>41489</v>
      </c>
      <c r="D4339" s="5">
        <v>41549</v>
      </c>
      <c r="E4339" s="4" t="s">
        <v>1410</v>
      </c>
      <c r="F4339" s="4" t="s">
        <v>1410</v>
      </c>
    </row>
    <row r="4340" spans="1:6" x14ac:dyDescent="0.25">
      <c r="A4340" s="4" t="str">
        <f>CONCATENATE("3071-0000-5683","")</f>
        <v>3071-0000-5683</v>
      </c>
      <c r="B4340" s="4" t="s">
        <v>7556</v>
      </c>
      <c r="C4340" s="5">
        <v>41489</v>
      </c>
      <c r="D4340" s="5">
        <v>41549</v>
      </c>
      <c r="E4340" s="4" t="s">
        <v>5185</v>
      </c>
      <c r="F4340" s="4" t="s">
        <v>5185</v>
      </c>
    </row>
    <row r="4341" spans="1:6" x14ac:dyDescent="0.25">
      <c r="A4341" s="4" t="str">
        <f>CONCATENATE("3071-0000-6012","")</f>
        <v>3071-0000-6012</v>
      </c>
      <c r="B4341" s="4" t="s">
        <v>7557</v>
      </c>
      <c r="C4341" s="5">
        <v>41489</v>
      </c>
      <c r="D4341" s="5">
        <v>41549</v>
      </c>
      <c r="E4341" s="4" t="s">
        <v>5185</v>
      </c>
      <c r="F4341" s="4" t="s">
        <v>5185</v>
      </c>
    </row>
    <row r="4342" spans="1:6" x14ac:dyDescent="0.25">
      <c r="A4342" s="4" t="str">
        <f>CONCATENATE("3071-0000-8087","")</f>
        <v>3071-0000-8087</v>
      </c>
      <c r="B4342" s="4" t="s">
        <v>5504</v>
      </c>
      <c r="C4342" s="5">
        <v>41489</v>
      </c>
      <c r="D4342" s="5">
        <v>41549</v>
      </c>
      <c r="E4342" s="4" t="s">
        <v>5185</v>
      </c>
      <c r="F4342" s="4" t="s">
        <v>5185</v>
      </c>
    </row>
    <row r="4343" spans="1:6" x14ac:dyDescent="0.25">
      <c r="A4343" s="4" t="str">
        <f>CONCATENATE("3071-0000-8558","")</f>
        <v>3071-0000-8558</v>
      </c>
      <c r="B4343" s="4" t="s">
        <v>5625</v>
      </c>
      <c r="C4343" s="5">
        <v>41489</v>
      </c>
      <c r="D4343" s="5">
        <v>41549</v>
      </c>
      <c r="E4343" s="4" t="s">
        <v>5185</v>
      </c>
      <c r="F4343" s="4" t="s">
        <v>5250</v>
      </c>
    </row>
    <row r="4344" spans="1:6" x14ac:dyDescent="0.25">
      <c r="A4344" s="4" t="str">
        <f>CONCATENATE("3071-0000-6149","")</f>
        <v>3071-0000-6149</v>
      </c>
      <c r="B4344" s="4" t="s">
        <v>7704</v>
      </c>
      <c r="C4344" s="5">
        <v>41489</v>
      </c>
      <c r="D4344" s="5">
        <v>41549</v>
      </c>
      <c r="E4344" s="4" t="s">
        <v>1410</v>
      </c>
      <c r="F4344" s="4" t="s">
        <v>1410</v>
      </c>
    </row>
    <row r="4345" spans="1:6" x14ac:dyDescent="0.25">
      <c r="A4345" s="4" t="str">
        <f>CONCATENATE("3071-0000-6310","")</f>
        <v>3071-0000-6310</v>
      </c>
      <c r="B4345" s="4" t="s">
        <v>7622</v>
      </c>
      <c r="C4345" s="5">
        <v>41489</v>
      </c>
      <c r="D4345" s="5">
        <v>41549</v>
      </c>
      <c r="E4345" s="4" t="s">
        <v>1410</v>
      </c>
      <c r="F4345" s="4" t="s">
        <v>1410</v>
      </c>
    </row>
    <row r="4346" spans="1:6" x14ac:dyDescent="0.25">
      <c r="A4346" s="4" t="str">
        <f>CONCATENATE("3071-0000-8370","")</f>
        <v>3071-0000-8370</v>
      </c>
      <c r="B4346" s="4" t="s">
        <v>5703</v>
      </c>
      <c r="C4346" s="5">
        <v>41489</v>
      </c>
      <c r="D4346" s="5">
        <v>41549</v>
      </c>
      <c r="E4346" s="4" t="s">
        <v>5185</v>
      </c>
      <c r="F4346" s="4" t="s">
        <v>5185</v>
      </c>
    </row>
    <row r="4347" spans="1:6" x14ac:dyDescent="0.25">
      <c r="A4347" s="4" t="str">
        <f>CONCATENATE("3071-0000-6156","")</f>
        <v>3071-0000-6156</v>
      </c>
      <c r="B4347" s="4" t="s">
        <v>7680</v>
      </c>
      <c r="C4347" s="5">
        <v>41489</v>
      </c>
      <c r="D4347" s="5">
        <v>41549</v>
      </c>
      <c r="E4347" s="4" t="s">
        <v>1410</v>
      </c>
      <c r="F4347" s="4" t="s">
        <v>1410</v>
      </c>
    </row>
    <row r="4348" spans="1:6" x14ac:dyDescent="0.25">
      <c r="A4348" s="4" t="str">
        <f>CONCATENATE("3071-0000-5958","")</f>
        <v>3071-0000-5958</v>
      </c>
      <c r="B4348" s="4" t="s">
        <v>7580</v>
      </c>
      <c r="C4348" s="5">
        <v>41489</v>
      </c>
      <c r="D4348" s="5">
        <v>41549</v>
      </c>
      <c r="E4348" s="4" t="s">
        <v>5185</v>
      </c>
      <c r="F4348" s="4" t="s">
        <v>5185</v>
      </c>
    </row>
    <row r="4349" spans="1:6" x14ac:dyDescent="0.25">
      <c r="A4349" s="4" t="str">
        <f>CONCATENATE("3071-0000-6170","")</f>
        <v>3071-0000-6170</v>
      </c>
      <c r="B4349" s="4" t="s">
        <v>7673</v>
      </c>
      <c r="C4349" s="5">
        <v>41489</v>
      </c>
      <c r="D4349" s="5">
        <v>41549</v>
      </c>
      <c r="E4349" s="4" t="s">
        <v>1410</v>
      </c>
      <c r="F4349" s="4" t="s">
        <v>1410</v>
      </c>
    </row>
    <row r="4350" spans="1:6" x14ac:dyDescent="0.25">
      <c r="A4350" s="4" t="str">
        <f>CONCATENATE("3071-0000-6169","")</f>
        <v>3071-0000-6169</v>
      </c>
      <c r="B4350" s="4" t="s">
        <v>7674</v>
      </c>
      <c r="C4350" s="5">
        <v>41489</v>
      </c>
      <c r="D4350" s="5">
        <v>41549</v>
      </c>
      <c r="E4350" s="4" t="s">
        <v>1410</v>
      </c>
      <c r="F4350" s="4" t="s">
        <v>1410</v>
      </c>
    </row>
    <row r="4351" spans="1:6" x14ac:dyDescent="0.25">
      <c r="A4351" s="4" t="str">
        <f>CONCATENATE("3071-0000-6158","")</f>
        <v>3071-0000-6158</v>
      </c>
      <c r="B4351" s="4" t="s">
        <v>7678</v>
      </c>
      <c r="C4351" s="5">
        <v>41489</v>
      </c>
      <c r="D4351" s="5">
        <v>41549</v>
      </c>
      <c r="E4351" s="4" t="s">
        <v>1410</v>
      </c>
      <c r="F4351" s="4" t="s">
        <v>1410</v>
      </c>
    </row>
    <row r="4352" spans="1:6" x14ac:dyDescent="0.25">
      <c r="A4352" s="4" t="str">
        <f>CONCATENATE("3071-0000-6157","")</f>
        <v>3071-0000-6157</v>
      </c>
      <c r="B4352" s="4" t="s">
        <v>7679</v>
      </c>
      <c r="C4352" s="5">
        <v>41489</v>
      </c>
      <c r="D4352" s="5">
        <v>41549</v>
      </c>
      <c r="E4352" s="4" t="s">
        <v>1410</v>
      </c>
      <c r="F4352" s="4" t="s">
        <v>1410</v>
      </c>
    </row>
    <row r="4353" spans="1:6" x14ac:dyDescent="0.25">
      <c r="A4353" s="4" t="str">
        <f>CONCATENATE("3071-0000-6970","")</f>
        <v>3071-0000-6970</v>
      </c>
      <c r="B4353" s="4" t="s">
        <v>4451</v>
      </c>
      <c r="C4353" s="5">
        <v>41489</v>
      </c>
      <c r="D4353" s="5">
        <v>41549</v>
      </c>
      <c r="E4353" s="4" t="s">
        <v>1410</v>
      </c>
      <c r="F4353" s="4" t="s">
        <v>1410</v>
      </c>
    </row>
    <row r="4354" spans="1:6" x14ac:dyDescent="0.25">
      <c r="A4354" s="4" t="str">
        <f>CONCATENATE("3071-0000-7295","")</f>
        <v>3071-0000-7295</v>
      </c>
      <c r="B4354" s="4" t="s">
        <v>4640</v>
      </c>
      <c r="C4354" s="5">
        <v>41489</v>
      </c>
      <c r="D4354" s="5">
        <v>41549</v>
      </c>
      <c r="E4354" s="4" t="s">
        <v>1410</v>
      </c>
      <c r="F4354" s="4" t="s">
        <v>1410</v>
      </c>
    </row>
    <row r="4355" spans="1:6" x14ac:dyDescent="0.25">
      <c r="A4355" s="4" t="str">
        <f>CONCATENATE("3071-0000-6160","")</f>
        <v>3071-0000-6160</v>
      </c>
      <c r="B4355" s="4" t="s">
        <v>7676</v>
      </c>
      <c r="C4355" s="5">
        <v>41489</v>
      </c>
      <c r="D4355" s="5">
        <v>41549</v>
      </c>
      <c r="E4355" s="4" t="s">
        <v>1410</v>
      </c>
      <c r="F4355" s="4" t="s">
        <v>1410</v>
      </c>
    </row>
    <row r="4356" spans="1:6" x14ac:dyDescent="0.25">
      <c r="A4356" s="4" t="str">
        <f>CONCATENATE("3071-0000-7461","")</f>
        <v>3071-0000-7461</v>
      </c>
      <c r="B4356" s="4" t="s">
        <v>4540</v>
      </c>
      <c r="C4356" s="5">
        <v>41489</v>
      </c>
      <c r="D4356" s="5">
        <v>41549</v>
      </c>
      <c r="E4356" s="4" t="s">
        <v>1410</v>
      </c>
      <c r="F4356" s="4" t="s">
        <v>1410</v>
      </c>
    </row>
    <row r="4357" spans="1:6" x14ac:dyDescent="0.25">
      <c r="A4357" s="4" t="str">
        <f>CONCATENATE("3071-0000-5631","")</f>
        <v>3071-0000-5631</v>
      </c>
      <c r="B4357" s="4" t="s">
        <v>7253</v>
      </c>
      <c r="C4357" s="5">
        <v>41489</v>
      </c>
      <c r="D4357" s="5">
        <v>41549</v>
      </c>
      <c r="E4357" s="4" t="s">
        <v>5185</v>
      </c>
      <c r="F4357" s="4" t="s">
        <v>5185</v>
      </c>
    </row>
    <row r="4358" spans="1:6" x14ac:dyDescent="0.25">
      <c r="A4358" s="4" t="str">
        <f>CONCATENATE("3071-0000-1960","")</f>
        <v>3071-0000-1960</v>
      </c>
      <c r="B4358" s="4" t="s">
        <v>3071</v>
      </c>
      <c r="C4358" s="5">
        <v>41489</v>
      </c>
      <c r="D4358" s="5">
        <v>41549</v>
      </c>
      <c r="E4358" s="4" t="s">
        <v>2944</v>
      </c>
      <c r="F4358" s="4" t="s">
        <v>2945</v>
      </c>
    </row>
    <row r="4359" spans="1:6" x14ac:dyDescent="0.25">
      <c r="A4359" s="4" t="str">
        <f>CONCATENATE("3071-0000-1052","")</f>
        <v>3071-0000-1052</v>
      </c>
      <c r="B4359" s="4" t="s">
        <v>2245</v>
      </c>
      <c r="C4359" s="5">
        <v>41489</v>
      </c>
      <c r="D4359" s="5">
        <v>41549</v>
      </c>
      <c r="E4359" s="4" t="s">
        <v>1857</v>
      </c>
      <c r="F4359" s="4" t="s">
        <v>1857</v>
      </c>
    </row>
    <row r="4360" spans="1:6" x14ac:dyDescent="0.25">
      <c r="A4360" s="4" t="str">
        <f>CONCATENATE("3071-0000-1132","")</f>
        <v>3071-0000-1132</v>
      </c>
      <c r="B4360" s="4" t="s">
        <v>2067</v>
      </c>
      <c r="C4360" s="5">
        <v>41489</v>
      </c>
      <c r="D4360" s="5">
        <v>41549</v>
      </c>
      <c r="E4360" s="4" t="s">
        <v>1857</v>
      </c>
      <c r="F4360" s="4" t="s">
        <v>2056</v>
      </c>
    </row>
    <row r="4361" spans="1:6" x14ac:dyDescent="0.25">
      <c r="A4361" s="4" t="str">
        <f>CONCATENATE("3071-0000-2004","")</f>
        <v>3071-0000-2004</v>
      </c>
      <c r="B4361" s="4" t="s">
        <v>3298</v>
      </c>
      <c r="C4361" s="5">
        <v>41489</v>
      </c>
      <c r="D4361" s="5">
        <v>41549</v>
      </c>
      <c r="E4361" s="4" t="s">
        <v>2944</v>
      </c>
      <c r="F4361" s="4" t="s">
        <v>2945</v>
      </c>
    </row>
    <row r="4362" spans="1:6" x14ac:dyDescent="0.25">
      <c r="A4362" s="4" t="str">
        <f>CONCATENATE("3071-0000-2007","")</f>
        <v>3071-0000-2007</v>
      </c>
      <c r="B4362" s="4" t="s">
        <v>3296</v>
      </c>
      <c r="C4362" s="5">
        <v>41489</v>
      </c>
      <c r="D4362" s="5">
        <v>41549</v>
      </c>
      <c r="E4362" s="4" t="s">
        <v>2944</v>
      </c>
      <c r="F4362" s="4" t="s">
        <v>2945</v>
      </c>
    </row>
    <row r="4363" spans="1:6" x14ac:dyDescent="0.25">
      <c r="A4363" s="4" t="str">
        <f>CONCATENATE("3071-0000-5630","")</f>
        <v>3071-0000-5630</v>
      </c>
      <c r="B4363" s="4" t="s">
        <v>7252</v>
      </c>
      <c r="C4363" s="5">
        <v>41489</v>
      </c>
      <c r="D4363" s="5">
        <v>41549</v>
      </c>
      <c r="E4363" s="4" t="s">
        <v>5185</v>
      </c>
      <c r="F4363" s="4" t="s">
        <v>5185</v>
      </c>
    </row>
    <row r="4364" spans="1:6" x14ac:dyDescent="0.25">
      <c r="A4364" s="4" t="str">
        <f>CONCATENATE("3071-0000-1751","")</f>
        <v>3071-0000-1751</v>
      </c>
      <c r="B4364" s="4" t="s">
        <v>2731</v>
      </c>
      <c r="C4364" s="5">
        <v>41489</v>
      </c>
      <c r="D4364" s="5">
        <v>41549</v>
      </c>
      <c r="E4364" s="4" t="s">
        <v>1381</v>
      </c>
      <c r="F4364" s="4" t="s">
        <v>2662</v>
      </c>
    </row>
    <row r="4365" spans="1:6" x14ac:dyDescent="0.25">
      <c r="A4365" s="4" t="str">
        <f>CONCATENATE("3071-0000-3217","")</f>
        <v>3071-0000-3217</v>
      </c>
      <c r="B4365" s="4" t="s">
        <v>975</v>
      </c>
      <c r="C4365" s="5">
        <v>41489</v>
      </c>
      <c r="D4365" s="5">
        <v>41549</v>
      </c>
      <c r="E4365" s="4" t="s">
        <v>7</v>
      </c>
      <c r="F4365" s="4" t="s">
        <v>808</v>
      </c>
    </row>
    <row r="4366" spans="1:6" x14ac:dyDescent="0.25">
      <c r="A4366" s="4" t="str">
        <f>CONCATENATE("3071-0000-3665","")</f>
        <v>3071-0000-3665</v>
      </c>
      <c r="B4366" s="4" t="s">
        <v>1673</v>
      </c>
      <c r="C4366" s="5">
        <v>41489</v>
      </c>
      <c r="D4366" s="5">
        <v>41549</v>
      </c>
      <c r="E4366" s="4" t="s">
        <v>1410</v>
      </c>
      <c r="F4366" s="4" t="s">
        <v>1601</v>
      </c>
    </row>
    <row r="4367" spans="1:6" x14ac:dyDescent="0.25">
      <c r="A4367" s="4" t="str">
        <f>CONCATENATE("3071-0000-6062","")</f>
        <v>3071-0000-6062</v>
      </c>
      <c r="B4367" s="4" t="s">
        <v>7558</v>
      </c>
      <c r="C4367" s="5">
        <v>41489</v>
      </c>
      <c r="D4367" s="5">
        <v>41549</v>
      </c>
      <c r="E4367" s="4" t="s">
        <v>1410</v>
      </c>
      <c r="F4367" s="4" t="s">
        <v>1410</v>
      </c>
    </row>
    <row r="4368" spans="1:6" x14ac:dyDescent="0.25">
      <c r="A4368" s="4" t="str">
        <f>CONCATENATE("3071-0000-1125","")</f>
        <v>3071-0000-1125</v>
      </c>
      <c r="B4368" s="4" t="s">
        <v>2107</v>
      </c>
      <c r="C4368" s="5">
        <v>41489</v>
      </c>
      <c r="D4368" s="5">
        <v>41549</v>
      </c>
      <c r="E4368" s="4" t="s">
        <v>1857</v>
      </c>
      <c r="F4368" s="4" t="s">
        <v>2108</v>
      </c>
    </row>
    <row r="4369" spans="1:6" x14ac:dyDescent="0.25">
      <c r="A4369" s="4" t="str">
        <f>CONCATENATE("3071-0000-1761","")</f>
        <v>3071-0000-1761</v>
      </c>
      <c r="B4369" s="4" t="s">
        <v>2789</v>
      </c>
      <c r="C4369" s="5">
        <v>41489</v>
      </c>
      <c r="D4369" s="5">
        <v>41549</v>
      </c>
      <c r="E4369" s="4" t="s">
        <v>1381</v>
      </c>
      <c r="F4369" s="4" t="s">
        <v>2533</v>
      </c>
    </row>
    <row r="4370" spans="1:6" x14ac:dyDescent="0.25">
      <c r="A4370" s="4" t="str">
        <f>CONCATENATE("3071-0000-5858","")</f>
        <v>3071-0000-5858</v>
      </c>
      <c r="B4370" s="4" t="s">
        <v>7373</v>
      </c>
      <c r="C4370" s="5">
        <v>41489</v>
      </c>
      <c r="D4370" s="5">
        <v>41549</v>
      </c>
      <c r="E4370" s="4" t="s">
        <v>5185</v>
      </c>
      <c r="F4370" s="4" t="s">
        <v>5185</v>
      </c>
    </row>
    <row r="4371" spans="1:6" x14ac:dyDescent="0.25">
      <c r="A4371" s="4" t="str">
        <f>CONCATENATE("3071-0000-6187","")</f>
        <v>3071-0000-6187</v>
      </c>
      <c r="B4371" s="4" t="s">
        <v>7737</v>
      </c>
      <c r="C4371" s="5">
        <v>41489</v>
      </c>
      <c r="D4371" s="5">
        <v>41549</v>
      </c>
      <c r="E4371" s="4" t="s">
        <v>1410</v>
      </c>
      <c r="F4371" s="4" t="s">
        <v>1410</v>
      </c>
    </row>
    <row r="4372" spans="1:6" x14ac:dyDescent="0.25">
      <c r="A4372" s="4" t="str">
        <f>CONCATENATE("3071-0000-1192","")</f>
        <v>3071-0000-1192</v>
      </c>
      <c r="B4372" s="4" t="s">
        <v>1895</v>
      </c>
      <c r="C4372" s="5">
        <v>41489</v>
      </c>
      <c r="D4372" s="5">
        <v>41549</v>
      </c>
      <c r="E4372" s="4" t="s">
        <v>1857</v>
      </c>
      <c r="F4372" s="4" t="s">
        <v>1857</v>
      </c>
    </row>
    <row r="4373" spans="1:6" x14ac:dyDescent="0.25">
      <c r="A4373" s="4" t="str">
        <f>CONCATENATE("3071-0000-7218","")</f>
        <v>3071-0000-7218</v>
      </c>
      <c r="B4373" s="4" t="s">
        <v>5031</v>
      </c>
      <c r="C4373" s="5">
        <v>41489</v>
      </c>
      <c r="D4373" s="5">
        <v>41549</v>
      </c>
      <c r="E4373" s="4" t="s">
        <v>1410</v>
      </c>
      <c r="F4373" s="4" t="s">
        <v>1410</v>
      </c>
    </row>
    <row r="4374" spans="1:6" x14ac:dyDescent="0.25">
      <c r="A4374" s="4" t="str">
        <f>CONCATENATE("3071-0000-4856","")</f>
        <v>3071-0000-4856</v>
      </c>
      <c r="B4374" s="4" t="s">
        <v>9030</v>
      </c>
      <c r="C4374" s="5">
        <v>41489</v>
      </c>
      <c r="D4374" s="5">
        <v>41549</v>
      </c>
      <c r="E4374" s="4" t="s">
        <v>7069</v>
      </c>
      <c r="F4374" s="4" t="s">
        <v>8783</v>
      </c>
    </row>
    <row r="4375" spans="1:6" x14ac:dyDescent="0.25">
      <c r="A4375" s="4" t="str">
        <f>CONCATENATE("3071-0000-6067","")</f>
        <v>3071-0000-6067</v>
      </c>
      <c r="B4375" s="4" t="s">
        <v>7621</v>
      </c>
      <c r="C4375" s="5">
        <v>41489</v>
      </c>
      <c r="D4375" s="5">
        <v>41549</v>
      </c>
      <c r="E4375" s="4" t="s">
        <v>1410</v>
      </c>
      <c r="F4375" s="4" t="s">
        <v>1410</v>
      </c>
    </row>
    <row r="4376" spans="1:6" x14ac:dyDescent="0.25">
      <c r="A4376" s="4" t="str">
        <f>CONCATENATE("3071-0000-6312","")</f>
        <v>3071-0000-6312</v>
      </c>
      <c r="B4376" s="4" t="s">
        <v>7485</v>
      </c>
      <c r="C4376" s="5">
        <v>41489</v>
      </c>
      <c r="D4376" s="5">
        <v>41549</v>
      </c>
      <c r="E4376" s="4" t="s">
        <v>1410</v>
      </c>
      <c r="F4376" s="4" t="s">
        <v>1410</v>
      </c>
    </row>
    <row r="4377" spans="1:6" x14ac:dyDescent="0.25">
      <c r="A4377" s="4" t="str">
        <f>CONCATENATE("3071-0000-6100","")</f>
        <v>3071-0000-6100</v>
      </c>
      <c r="B4377" s="4" t="s">
        <v>7706</v>
      </c>
      <c r="C4377" s="5">
        <v>41489</v>
      </c>
      <c r="D4377" s="5">
        <v>41549</v>
      </c>
      <c r="E4377" s="4" t="s">
        <v>1410</v>
      </c>
      <c r="F4377" s="4" t="s">
        <v>1410</v>
      </c>
    </row>
    <row r="4378" spans="1:6" x14ac:dyDescent="0.25">
      <c r="A4378" s="4" t="str">
        <f>CONCATENATE("3071-0000-6196","")</f>
        <v>3071-0000-6196</v>
      </c>
      <c r="B4378" s="4" t="s">
        <v>7741</v>
      </c>
      <c r="C4378" s="5">
        <v>41489</v>
      </c>
      <c r="D4378" s="5">
        <v>41549</v>
      </c>
      <c r="E4378" s="4" t="s">
        <v>1410</v>
      </c>
      <c r="F4378" s="4" t="s">
        <v>1410</v>
      </c>
    </row>
    <row r="4379" spans="1:6" x14ac:dyDescent="0.25">
      <c r="A4379" s="4" t="str">
        <f>CONCATENATE("3071-0000-8154","")</f>
        <v>3071-0000-8154</v>
      </c>
      <c r="B4379" s="4" t="s">
        <v>5392</v>
      </c>
      <c r="C4379" s="5">
        <v>41489</v>
      </c>
      <c r="D4379" s="5">
        <v>41549</v>
      </c>
      <c r="E4379" s="4" t="s">
        <v>5185</v>
      </c>
      <c r="F4379" s="4" t="s">
        <v>5185</v>
      </c>
    </row>
    <row r="4380" spans="1:6" x14ac:dyDescent="0.25">
      <c r="A4380" s="4" t="str">
        <f>CONCATENATE("3071-0000-6966","")</f>
        <v>3071-0000-6966</v>
      </c>
      <c r="B4380" s="4" t="s">
        <v>4445</v>
      </c>
      <c r="C4380" s="5">
        <v>41489</v>
      </c>
      <c r="D4380" s="5">
        <v>41549</v>
      </c>
      <c r="E4380" s="4" t="s">
        <v>1410</v>
      </c>
      <c r="F4380" s="4" t="s">
        <v>1410</v>
      </c>
    </row>
    <row r="4381" spans="1:6" x14ac:dyDescent="0.25">
      <c r="A4381" s="4" t="str">
        <f>CONCATENATE("3071-0000-7374","")</f>
        <v>3071-0000-7374</v>
      </c>
      <c r="B4381" s="4" t="s">
        <v>4428</v>
      </c>
      <c r="C4381" s="5">
        <v>41489</v>
      </c>
      <c r="D4381" s="5">
        <v>41549</v>
      </c>
      <c r="E4381" s="4" t="s">
        <v>1410</v>
      </c>
      <c r="F4381" s="4" t="s">
        <v>1410</v>
      </c>
    </row>
    <row r="4382" spans="1:6" x14ac:dyDescent="0.25">
      <c r="A4382" s="4" t="str">
        <f>CONCATENATE("3071-0000-0516","")</f>
        <v>3071-0000-0516</v>
      </c>
      <c r="B4382" s="4" t="s">
        <v>700</v>
      </c>
      <c r="C4382" s="5">
        <v>41489</v>
      </c>
      <c r="D4382" s="5">
        <v>41549</v>
      </c>
      <c r="E4382" s="4" t="s">
        <v>7</v>
      </c>
      <c r="F4382" s="4" t="s">
        <v>7</v>
      </c>
    </row>
    <row r="4383" spans="1:6" x14ac:dyDescent="0.25">
      <c r="A4383" s="4" t="str">
        <f>CONCATENATE("3071-0000-1486","")</f>
        <v>3071-0000-1486</v>
      </c>
      <c r="B4383" s="4" t="s">
        <v>2921</v>
      </c>
      <c r="C4383" s="5">
        <v>41489</v>
      </c>
      <c r="D4383" s="5">
        <v>41549</v>
      </c>
      <c r="E4383" s="4" t="s">
        <v>1381</v>
      </c>
      <c r="F4383" s="4" t="s">
        <v>2303</v>
      </c>
    </row>
    <row r="4384" spans="1:6" x14ac:dyDescent="0.25">
      <c r="A4384" s="4" t="str">
        <f>CONCATENATE("3071-0000-2623","")</f>
        <v>3071-0000-2623</v>
      </c>
      <c r="B4384" s="4" t="s">
        <v>3357</v>
      </c>
      <c r="C4384" s="5">
        <v>41489</v>
      </c>
      <c r="D4384" s="5">
        <v>41549</v>
      </c>
      <c r="E4384" s="4" t="s">
        <v>1857</v>
      </c>
      <c r="F4384" s="4" t="s">
        <v>3306</v>
      </c>
    </row>
    <row r="4385" spans="1:6" x14ac:dyDescent="0.25">
      <c r="A4385" s="4" t="str">
        <f>CONCATENATE("3071-0000-2021","")</f>
        <v>3071-0000-2021</v>
      </c>
      <c r="B4385" s="4" t="s">
        <v>3336</v>
      </c>
      <c r="C4385" s="5">
        <v>41489</v>
      </c>
      <c r="D4385" s="5">
        <v>41549</v>
      </c>
      <c r="E4385" s="4" t="s">
        <v>2944</v>
      </c>
      <c r="F4385" s="4" t="s">
        <v>2945</v>
      </c>
    </row>
    <row r="4386" spans="1:6" x14ac:dyDescent="0.25">
      <c r="A4386" s="4" t="str">
        <f>CONCATENATE("3071-0000-2028","")</f>
        <v>3071-0000-2028</v>
      </c>
      <c r="B4386" s="4" t="s">
        <v>3310</v>
      </c>
      <c r="C4386" s="5">
        <v>41489</v>
      </c>
      <c r="D4386" s="5">
        <v>41549</v>
      </c>
      <c r="E4386" s="4" t="s">
        <v>2944</v>
      </c>
      <c r="F4386" s="4" t="s">
        <v>2945</v>
      </c>
    </row>
    <row r="4387" spans="1:6" x14ac:dyDescent="0.25">
      <c r="A4387" s="4" t="str">
        <f>CONCATENATE("3071-0000-2055","")</f>
        <v>3071-0000-2055</v>
      </c>
      <c r="B4387" s="4" t="s">
        <v>3401</v>
      </c>
      <c r="C4387" s="5">
        <v>41489</v>
      </c>
      <c r="D4387" s="5">
        <v>41549</v>
      </c>
      <c r="E4387" s="4" t="s">
        <v>2944</v>
      </c>
      <c r="F4387" s="4" t="s">
        <v>2945</v>
      </c>
    </row>
    <row r="4388" spans="1:6" x14ac:dyDescent="0.25">
      <c r="A4388" s="4" t="str">
        <f>CONCATENATE("3071-0000-1824","")</f>
        <v>3071-0000-1824</v>
      </c>
      <c r="B4388" s="4" t="s">
        <v>2413</v>
      </c>
      <c r="C4388" s="5">
        <v>41489</v>
      </c>
      <c r="D4388" s="5">
        <v>41549</v>
      </c>
      <c r="E4388" s="4" t="s">
        <v>1381</v>
      </c>
      <c r="F4388" s="4" t="s">
        <v>2303</v>
      </c>
    </row>
    <row r="4389" spans="1:6" x14ac:dyDescent="0.25">
      <c r="A4389" s="4" t="str">
        <f>CONCATENATE("3071-0000-1553","")</f>
        <v>3071-0000-1553</v>
      </c>
      <c r="B4389" s="4" t="s">
        <v>2452</v>
      </c>
      <c r="C4389" s="5">
        <v>41489</v>
      </c>
      <c r="D4389" s="5">
        <v>41549</v>
      </c>
      <c r="E4389" s="4" t="s">
        <v>1381</v>
      </c>
      <c r="F4389" s="4" t="s">
        <v>2303</v>
      </c>
    </row>
    <row r="4390" spans="1:6" x14ac:dyDescent="0.25">
      <c r="A4390" s="4" t="str">
        <f>CONCATENATE("3071-0000-2536","")</f>
        <v>3071-0000-2536</v>
      </c>
      <c r="B4390" s="4" t="s">
        <v>3364</v>
      </c>
      <c r="C4390" s="5">
        <v>41489</v>
      </c>
      <c r="D4390" s="5">
        <v>41549</v>
      </c>
      <c r="E4390" s="4" t="s">
        <v>1857</v>
      </c>
      <c r="F4390" s="4" t="s">
        <v>3306</v>
      </c>
    </row>
    <row r="4391" spans="1:6" x14ac:dyDescent="0.25">
      <c r="A4391" s="4" t="str">
        <f>CONCATENATE("3071-0000-2464","")</f>
        <v>3071-0000-2464</v>
      </c>
      <c r="B4391" s="4" t="s">
        <v>3308</v>
      </c>
      <c r="C4391" s="5">
        <v>41489</v>
      </c>
      <c r="D4391" s="5">
        <v>41549</v>
      </c>
      <c r="E4391" s="4" t="s">
        <v>1857</v>
      </c>
      <c r="F4391" s="4" t="s">
        <v>3306</v>
      </c>
    </row>
    <row r="4392" spans="1:6" x14ac:dyDescent="0.25">
      <c r="A4392" s="4" t="str">
        <f>CONCATENATE("3071-0000-0528","")</f>
        <v>3071-0000-0528</v>
      </c>
      <c r="B4392" s="4" t="s">
        <v>650</v>
      </c>
      <c r="C4392" s="5">
        <v>41489</v>
      </c>
      <c r="D4392" s="5">
        <v>41549</v>
      </c>
      <c r="E4392" s="4" t="s">
        <v>7</v>
      </c>
      <c r="F4392" s="4" t="s">
        <v>7</v>
      </c>
    </row>
    <row r="4393" spans="1:6" x14ac:dyDescent="0.25">
      <c r="A4393" s="4" t="str">
        <f>CONCATENATE("3071-0000-8011","")</f>
        <v>3071-0000-8011</v>
      </c>
      <c r="B4393" s="4" t="s">
        <v>5666</v>
      </c>
      <c r="C4393" s="5">
        <v>41489</v>
      </c>
      <c r="D4393" s="5">
        <v>41549</v>
      </c>
      <c r="E4393" s="4" t="s">
        <v>5185</v>
      </c>
      <c r="F4393" s="4" t="s">
        <v>5185</v>
      </c>
    </row>
    <row r="4394" spans="1:6" x14ac:dyDescent="0.25">
      <c r="A4394" s="4" t="str">
        <f>CONCATENATE("3071-0000-7942","")</f>
        <v>3071-0000-7942</v>
      </c>
      <c r="B4394" s="4" t="s">
        <v>5576</v>
      </c>
      <c r="C4394" s="5">
        <v>41489</v>
      </c>
      <c r="D4394" s="5">
        <v>41549</v>
      </c>
      <c r="E4394" s="4" t="s">
        <v>5185</v>
      </c>
      <c r="F4394" s="4" t="s">
        <v>5185</v>
      </c>
    </row>
    <row r="4395" spans="1:6" x14ac:dyDescent="0.25">
      <c r="A4395" s="4" t="str">
        <f>CONCATENATE("3071-0000-8000","")</f>
        <v>3071-0000-8000</v>
      </c>
      <c r="B4395" s="4" t="s">
        <v>5759</v>
      </c>
      <c r="C4395" s="5">
        <v>41489</v>
      </c>
      <c r="D4395" s="5">
        <v>41549</v>
      </c>
      <c r="E4395" s="4" t="s">
        <v>5185</v>
      </c>
      <c r="F4395" s="4" t="s">
        <v>5250</v>
      </c>
    </row>
    <row r="4396" spans="1:6" x14ac:dyDescent="0.25">
      <c r="A4396" s="4" t="str">
        <f>CONCATENATE("3071-0000-9158","")</f>
        <v>3071-0000-9158</v>
      </c>
      <c r="B4396" s="4" t="s">
        <v>5506</v>
      </c>
      <c r="C4396" s="5">
        <v>41489</v>
      </c>
      <c r="D4396" s="5">
        <v>41549</v>
      </c>
      <c r="E4396" s="4" t="s">
        <v>5185</v>
      </c>
      <c r="F4396" s="4" t="s">
        <v>5250</v>
      </c>
    </row>
    <row r="4397" spans="1:6" x14ac:dyDescent="0.25">
      <c r="A4397" s="4" t="str">
        <f>CONCATENATE("3071-0000-8175","")</f>
        <v>3071-0000-8175</v>
      </c>
      <c r="B4397" s="4" t="s">
        <v>5628</v>
      </c>
      <c r="C4397" s="5">
        <v>41489</v>
      </c>
      <c r="D4397" s="5">
        <v>41549</v>
      </c>
      <c r="E4397" s="4" t="s">
        <v>5185</v>
      </c>
      <c r="F4397" s="4" t="s">
        <v>5185</v>
      </c>
    </row>
    <row r="4398" spans="1:6" x14ac:dyDescent="0.25">
      <c r="A4398" s="4" t="str">
        <f>CONCATENATE("3071-0000-8570","")</f>
        <v>3071-0000-8570</v>
      </c>
      <c r="B4398" s="4" t="s">
        <v>5743</v>
      </c>
      <c r="C4398" s="5">
        <v>41489</v>
      </c>
      <c r="D4398" s="5">
        <v>41549</v>
      </c>
      <c r="E4398" s="4" t="s">
        <v>5185</v>
      </c>
      <c r="F4398" s="4" t="s">
        <v>5250</v>
      </c>
    </row>
    <row r="4399" spans="1:6" x14ac:dyDescent="0.25">
      <c r="A4399" s="4" t="str">
        <f>CONCATENATE("3071-0000-8224","")</f>
        <v>3071-0000-8224</v>
      </c>
      <c r="B4399" s="4" t="s">
        <v>5716</v>
      </c>
      <c r="C4399" s="5">
        <v>41489</v>
      </c>
      <c r="D4399" s="5">
        <v>41549</v>
      </c>
      <c r="E4399" s="4" t="s">
        <v>5185</v>
      </c>
      <c r="F4399" s="4" t="s">
        <v>5185</v>
      </c>
    </row>
    <row r="4400" spans="1:6" x14ac:dyDescent="0.25">
      <c r="A4400" s="4" t="str">
        <f>CONCATENATE("3071-0000-7929","")</f>
        <v>3071-0000-7929</v>
      </c>
      <c r="B4400" s="4" t="s">
        <v>5558</v>
      </c>
      <c r="C4400" s="5">
        <v>41489</v>
      </c>
      <c r="D4400" s="5">
        <v>41549</v>
      </c>
      <c r="E4400" s="4" t="s">
        <v>5185</v>
      </c>
      <c r="F4400" s="4" t="s">
        <v>5185</v>
      </c>
    </row>
    <row r="4401" spans="1:6" x14ac:dyDescent="0.25">
      <c r="A4401" s="4" t="str">
        <f>CONCATENATE("3071-0000-7825","")</f>
        <v>3071-0000-7825</v>
      </c>
      <c r="B4401" s="4" t="s">
        <v>5474</v>
      </c>
      <c r="C4401" s="5">
        <v>41489</v>
      </c>
      <c r="D4401" s="5">
        <v>41549</v>
      </c>
      <c r="E4401" s="4" t="s">
        <v>5185</v>
      </c>
      <c r="F4401" s="4" t="s">
        <v>5185</v>
      </c>
    </row>
    <row r="4402" spans="1:6" x14ac:dyDescent="0.25">
      <c r="A4402" s="4" t="str">
        <f>CONCATENATE("3071-0000-8025","")</f>
        <v>3071-0000-8025</v>
      </c>
      <c r="B4402" s="4" t="s">
        <v>5693</v>
      </c>
      <c r="C4402" s="5">
        <v>41489</v>
      </c>
      <c r="D4402" s="5">
        <v>41549</v>
      </c>
      <c r="E4402" s="4" t="s">
        <v>5185</v>
      </c>
      <c r="F4402" s="4" t="s">
        <v>5185</v>
      </c>
    </row>
    <row r="4403" spans="1:6" x14ac:dyDescent="0.25">
      <c r="A4403" s="4" t="str">
        <f>CONCATENATE("3071-0000-6842","")</f>
        <v>3071-0000-6842</v>
      </c>
      <c r="B4403" s="4" t="s">
        <v>7994</v>
      </c>
      <c r="C4403" s="5">
        <v>41489</v>
      </c>
      <c r="D4403" s="5">
        <v>41549</v>
      </c>
      <c r="E4403" s="4" t="s">
        <v>1410</v>
      </c>
      <c r="F4403" s="4" t="s">
        <v>7967</v>
      </c>
    </row>
    <row r="4404" spans="1:6" x14ac:dyDescent="0.25">
      <c r="A4404" s="4" t="str">
        <f>CONCATENATE("3071-0000-8710","")</f>
        <v>3071-0000-8710</v>
      </c>
      <c r="B4404" s="4" t="s">
        <v>6475</v>
      </c>
      <c r="C4404" s="5">
        <v>41489</v>
      </c>
      <c r="D4404" s="5">
        <v>41549</v>
      </c>
      <c r="E4404" s="4" t="s">
        <v>5185</v>
      </c>
      <c r="F4404" s="4" t="s">
        <v>5292</v>
      </c>
    </row>
    <row r="4405" spans="1:6" x14ac:dyDescent="0.25">
      <c r="A4405" s="4" t="str">
        <f>CONCATENATE("3071-0000-9118","")</f>
        <v>3071-0000-9118</v>
      </c>
      <c r="B4405" s="4" t="s">
        <v>5568</v>
      </c>
      <c r="C4405" s="5">
        <v>41489</v>
      </c>
      <c r="D4405" s="5">
        <v>41549</v>
      </c>
      <c r="E4405" s="4" t="s">
        <v>5185</v>
      </c>
      <c r="F4405" s="4" t="s">
        <v>5250</v>
      </c>
    </row>
    <row r="4406" spans="1:6" x14ac:dyDescent="0.25">
      <c r="A4406" s="4" t="str">
        <f>CONCATENATE("3071-0000-3473","")</f>
        <v>3071-0000-3473</v>
      </c>
      <c r="B4406" s="4" t="s">
        <v>1764</v>
      </c>
      <c r="C4406" s="5">
        <v>41489</v>
      </c>
      <c r="D4406" s="5">
        <v>41549</v>
      </c>
      <c r="E4406" s="4" t="s">
        <v>1410</v>
      </c>
      <c r="F4406" s="4" t="s">
        <v>1411</v>
      </c>
    </row>
    <row r="4407" spans="1:6" x14ac:dyDescent="0.25">
      <c r="A4407" s="4" t="str">
        <f>CONCATENATE("3071-0000-0896","")</f>
        <v>3071-0000-0896</v>
      </c>
      <c r="B4407" s="4" t="s">
        <v>1999</v>
      </c>
      <c r="C4407" s="5">
        <v>41489</v>
      </c>
      <c r="D4407" s="5">
        <v>41549</v>
      </c>
      <c r="E4407" s="4" t="s">
        <v>1857</v>
      </c>
      <c r="F4407" s="4" t="s">
        <v>1857</v>
      </c>
    </row>
    <row r="4408" spans="1:6" x14ac:dyDescent="0.25">
      <c r="A4408" s="4" t="str">
        <f>CONCATENATE("3071-0000-4067","")</f>
        <v>3071-0000-4067</v>
      </c>
      <c r="B4408" s="4" t="s">
        <v>3965</v>
      </c>
      <c r="C4408" s="5">
        <v>41489</v>
      </c>
      <c r="D4408" s="5">
        <v>41549</v>
      </c>
      <c r="E4408" s="4" t="s">
        <v>7</v>
      </c>
      <c r="F4408" s="4" t="s">
        <v>1419</v>
      </c>
    </row>
    <row r="4409" spans="1:6" x14ac:dyDescent="0.25">
      <c r="A4409" s="4" t="str">
        <f>CONCATENATE("3071-0000-2353","")</f>
        <v>3071-0000-2353</v>
      </c>
      <c r="B4409" s="4" t="s">
        <v>3136</v>
      </c>
      <c r="C4409" s="5">
        <v>41489</v>
      </c>
      <c r="D4409" s="5">
        <v>41549</v>
      </c>
      <c r="E4409" s="4" t="s">
        <v>2944</v>
      </c>
      <c r="F4409" s="4" t="s">
        <v>2945</v>
      </c>
    </row>
    <row r="4410" spans="1:6" x14ac:dyDescent="0.25">
      <c r="A4410" s="4" t="str">
        <f>CONCATENATE("3071-0000-5879","")</f>
        <v>3071-0000-5879</v>
      </c>
      <c r="B4410" s="4" t="s">
        <v>7561</v>
      </c>
      <c r="C4410" s="5">
        <v>41489</v>
      </c>
      <c r="D4410" s="5">
        <v>41549</v>
      </c>
      <c r="E4410" s="4" t="s">
        <v>5185</v>
      </c>
      <c r="F4410" s="4" t="s">
        <v>5185</v>
      </c>
    </row>
    <row r="4411" spans="1:6" x14ac:dyDescent="0.25">
      <c r="A4411" s="4" t="str">
        <f>CONCATENATE("3071-0000-6325","")</f>
        <v>3071-0000-6325</v>
      </c>
      <c r="B4411" s="4" t="s">
        <v>7305</v>
      </c>
      <c r="C4411" s="5">
        <v>41489</v>
      </c>
      <c r="D4411" s="5">
        <v>41549</v>
      </c>
      <c r="E4411" s="4" t="s">
        <v>1410</v>
      </c>
      <c r="F4411" s="4" t="s">
        <v>1410</v>
      </c>
    </row>
    <row r="4412" spans="1:6" x14ac:dyDescent="0.25">
      <c r="A4412" s="4" t="str">
        <f>CONCATENATE("3071-0000-7316","")</f>
        <v>3071-0000-7316</v>
      </c>
      <c r="B4412" s="4" t="s">
        <v>4559</v>
      </c>
      <c r="C4412" s="5">
        <v>41489</v>
      </c>
      <c r="D4412" s="5">
        <v>41549</v>
      </c>
      <c r="E4412" s="4" t="s">
        <v>1410</v>
      </c>
      <c r="F4412" s="4" t="s">
        <v>1410</v>
      </c>
    </row>
    <row r="4413" spans="1:6" x14ac:dyDescent="0.25">
      <c r="A4413" s="4" t="str">
        <f>CONCATENATE("3071-0000-6226","")</f>
        <v>3071-0000-6226</v>
      </c>
      <c r="B4413" s="4" t="s">
        <v>7424</v>
      </c>
      <c r="C4413" s="5">
        <v>41489</v>
      </c>
      <c r="D4413" s="5">
        <v>41549</v>
      </c>
      <c r="E4413" s="4" t="s">
        <v>1410</v>
      </c>
      <c r="F4413" s="4" t="s">
        <v>7309</v>
      </c>
    </row>
    <row r="4414" spans="1:6" x14ac:dyDescent="0.25">
      <c r="A4414" s="4" t="str">
        <f>CONCATENATE("3071-0000-6208","")</f>
        <v>3071-0000-6208</v>
      </c>
      <c r="B4414" s="4" t="s">
        <v>6963</v>
      </c>
      <c r="C4414" s="5">
        <v>41489</v>
      </c>
      <c r="D4414" s="5">
        <v>41549</v>
      </c>
      <c r="E4414" s="4" t="s">
        <v>1410</v>
      </c>
      <c r="F4414" s="4" t="s">
        <v>4616</v>
      </c>
    </row>
    <row r="4415" spans="1:6" x14ac:dyDescent="0.25">
      <c r="A4415" s="4" t="str">
        <f>CONCATENATE("3071-0000-5758","")</f>
        <v>3071-0000-5758</v>
      </c>
      <c r="B4415" s="4" t="s">
        <v>7539</v>
      </c>
      <c r="C4415" s="5">
        <v>41489</v>
      </c>
      <c r="D4415" s="5">
        <v>41549</v>
      </c>
      <c r="E4415" s="4" t="s">
        <v>5185</v>
      </c>
      <c r="F4415" s="4" t="s">
        <v>5185</v>
      </c>
    </row>
    <row r="4416" spans="1:6" x14ac:dyDescent="0.25">
      <c r="A4416" s="4" t="str">
        <f>CONCATENATE("3071-0000-6982","")</f>
        <v>3071-0000-6982</v>
      </c>
      <c r="B4416" s="4" t="s">
        <v>4474</v>
      </c>
      <c r="C4416" s="5">
        <v>41489</v>
      </c>
      <c r="D4416" s="5">
        <v>41549</v>
      </c>
      <c r="E4416" s="4" t="s">
        <v>1410</v>
      </c>
      <c r="F4416" s="4" t="s">
        <v>1410</v>
      </c>
    </row>
    <row r="4417" spans="1:6" x14ac:dyDescent="0.25">
      <c r="A4417" s="4" t="str">
        <f>CONCATENATE("3071-0000-5900","")</f>
        <v>3071-0000-5900</v>
      </c>
      <c r="B4417" s="4" t="s">
        <v>7592</v>
      </c>
      <c r="C4417" s="5">
        <v>41489</v>
      </c>
      <c r="D4417" s="5">
        <v>41549</v>
      </c>
      <c r="E4417" s="4" t="s">
        <v>5185</v>
      </c>
      <c r="F4417" s="4" t="s">
        <v>5185</v>
      </c>
    </row>
    <row r="4418" spans="1:6" x14ac:dyDescent="0.25">
      <c r="A4418" s="4" t="str">
        <f>CONCATENATE("3071-0000-7403","")</f>
        <v>3071-0000-7403</v>
      </c>
      <c r="B4418" s="4" t="s">
        <v>4644</v>
      </c>
      <c r="C4418" s="5">
        <v>41489</v>
      </c>
      <c r="D4418" s="5">
        <v>41549</v>
      </c>
      <c r="E4418" s="4" t="s">
        <v>1410</v>
      </c>
      <c r="F4418" s="4" t="s">
        <v>1410</v>
      </c>
    </row>
    <row r="4419" spans="1:6" x14ac:dyDescent="0.25">
      <c r="A4419" s="4" t="str">
        <f>CONCATENATE("3071-0000-6959","")</f>
        <v>3071-0000-6959</v>
      </c>
      <c r="B4419" s="4" t="s">
        <v>4557</v>
      </c>
      <c r="C4419" s="5">
        <v>41489</v>
      </c>
      <c r="D4419" s="5">
        <v>41549</v>
      </c>
      <c r="E4419" s="4" t="s">
        <v>1410</v>
      </c>
      <c r="F4419" s="4" t="s">
        <v>1410</v>
      </c>
    </row>
    <row r="4420" spans="1:6" x14ac:dyDescent="0.25">
      <c r="A4420" s="4" t="str">
        <f>CONCATENATE("3071-0000-5921","")</f>
        <v>3071-0000-5921</v>
      </c>
      <c r="B4420" s="4" t="s">
        <v>7591</v>
      </c>
      <c r="C4420" s="5">
        <v>41489</v>
      </c>
      <c r="D4420" s="5">
        <v>41549</v>
      </c>
      <c r="E4420" s="4" t="s">
        <v>5185</v>
      </c>
      <c r="F4420" s="4" t="s">
        <v>5185</v>
      </c>
    </row>
    <row r="4421" spans="1:6" x14ac:dyDescent="0.25">
      <c r="A4421" s="4" t="str">
        <f>CONCATENATE("3071-0000-3692","")</f>
        <v>3071-0000-3692</v>
      </c>
      <c r="B4421" s="4" t="s">
        <v>1807</v>
      </c>
      <c r="C4421" s="5">
        <v>41489</v>
      </c>
      <c r="D4421" s="5">
        <v>41549</v>
      </c>
      <c r="E4421" s="4" t="s">
        <v>1410</v>
      </c>
      <c r="F4421" s="4" t="s">
        <v>1411</v>
      </c>
    </row>
    <row r="4422" spans="1:6" x14ac:dyDescent="0.25">
      <c r="A4422" s="4" t="str">
        <f>CONCATENATE("3071-0000-3542","")</f>
        <v>3071-0000-3542</v>
      </c>
      <c r="B4422" s="4" t="s">
        <v>1697</v>
      </c>
      <c r="C4422" s="5">
        <v>41489</v>
      </c>
      <c r="D4422" s="5">
        <v>41549</v>
      </c>
      <c r="E4422" s="4" t="s">
        <v>1410</v>
      </c>
      <c r="F4422" s="4" t="s">
        <v>1411</v>
      </c>
    </row>
    <row r="4423" spans="1:6" x14ac:dyDescent="0.25">
      <c r="A4423" s="4" t="str">
        <f>CONCATENATE("3071-0000-5939","")</f>
        <v>3071-0000-5939</v>
      </c>
      <c r="B4423" s="4" t="s">
        <v>7304</v>
      </c>
      <c r="C4423" s="5">
        <v>41489</v>
      </c>
      <c r="D4423" s="5">
        <v>41549</v>
      </c>
      <c r="E4423" s="4" t="s">
        <v>5185</v>
      </c>
      <c r="F4423" s="4" t="s">
        <v>5185</v>
      </c>
    </row>
    <row r="4424" spans="1:6" x14ac:dyDescent="0.25">
      <c r="A4424" s="4" t="str">
        <f>CONCATENATE("3071-0000-5657","")</f>
        <v>3071-0000-5657</v>
      </c>
      <c r="B4424" s="4" t="s">
        <v>6956</v>
      </c>
      <c r="C4424" s="5">
        <v>41489</v>
      </c>
      <c r="D4424" s="5">
        <v>41549</v>
      </c>
      <c r="E4424" s="4" t="s">
        <v>5185</v>
      </c>
      <c r="F4424" s="4" t="s">
        <v>5185</v>
      </c>
    </row>
    <row r="4425" spans="1:6" x14ac:dyDescent="0.25">
      <c r="A4425" s="4" t="str">
        <f>CONCATENATE("3071-0000-5746","")</f>
        <v>3071-0000-5746</v>
      </c>
      <c r="B4425" s="4" t="s">
        <v>7536</v>
      </c>
      <c r="C4425" s="5">
        <v>41489</v>
      </c>
      <c r="D4425" s="5">
        <v>41549</v>
      </c>
      <c r="E4425" s="4" t="s">
        <v>5185</v>
      </c>
      <c r="F4425" s="4" t="s">
        <v>5185</v>
      </c>
    </row>
    <row r="4426" spans="1:6" x14ac:dyDescent="0.25">
      <c r="A4426" s="4" t="str">
        <f>CONCATENATE("3071-0000-6938","")</f>
        <v>3071-0000-6938</v>
      </c>
      <c r="B4426" s="4" t="s">
        <v>4561</v>
      </c>
      <c r="C4426" s="5">
        <v>41489</v>
      </c>
      <c r="D4426" s="5">
        <v>41549</v>
      </c>
      <c r="E4426" s="4" t="s">
        <v>1410</v>
      </c>
      <c r="F4426" s="4" t="s">
        <v>1410</v>
      </c>
    </row>
    <row r="4427" spans="1:6" x14ac:dyDescent="0.25">
      <c r="A4427" s="4" t="str">
        <f>CONCATENATE("3071-0000-7521","")</f>
        <v>3071-0000-7521</v>
      </c>
      <c r="B4427" s="4" t="s">
        <v>4523</v>
      </c>
      <c r="C4427" s="5">
        <v>41489</v>
      </c>
      <c r="D4427" s="5">
        <v>41549</v>
      </c>
      <c r="E4427" s="4" t="s">
        <v>1410</v>
      </c>
      <c r="F4427" s="4" t="s">
        <v>1410</v>
      </c>
    </row>
    <row r="4428" spans="1:6" x14ac:dyDescent="0.25">
      <c r="A4428" s="4" t="str">
        <f>CONCATENATE("3071-0000-0396","")</f>
        <v>3071-0000-0396</v>
      </c>
      <c r="B4428" s="4" t="s">
        <v>122</v>
      </c>
      <c r="C4428" s="5">
        <v>41489</v>
      </c>
      <c r="D4428" s="5">
        <v>41549</v>
      </c>
      <c r="E4428" s="4" t="s">
        <v>7</v>
      </c>
      <c r="F4428" s="4" t="s">
        <v>7</v>
      </c>
    </row>
    <row r="4429" spans="1:6" x14ac:dyDescent="0.25">
      <c r="A4429" s="4" t="str">
        <f>CONCATENATE("3071-0000-1330","")</f>
        <v>3071-0000-1330</v>
      </c>
      <c r="B4429" s="4" t="s">
        <v>2459</v>
      </c>
      <c r="C4429" s="5">
        <v>41489</v>
      </c>
      <c r="D4429" s="5">
        <v>41549</v>
      </c>
      <c r="E4429" s="4" t="s">
        <v>1381</v>
      </c>
      <c r="F4429" s="4" t="s">
        <v>2303</v>
      </c>
    </row>
    <row r="4430" spans="1:6" x14ac:dyDescent="0.25">
      <c r="A4430" s="4" t="str">
        <f>CONCATENATE("3071-0000-1238","")</f>
        <v>3071-0000-1238</v>
      </c>
      <c r="B4430" s="4" t="s">
        <v>2417</v>
      </c>
      <c r="C4430" s="5">
        <v>41489</v>
      </c>
      <c r="D4430" s="5">
        <v>41549</v>
      </c>
      <c r="E4430" s="4" t="s">
        <v>1381</v>
      </c>
      <c r="F4430" s="4" t="s">
        <v>2303</v>
      </c>
    </row>
    <row r="4431" spans="1:6" x14ac:dyDescent="0.25">
      <c r="A4431" s="4" t="str">
        <f>CONCATENATE("3071-0000-4788","")</f>
        <v>3071-0000-4788</v>
      </c>
      <c r="B4431" s="4" t="s">
        <v>9608</v>
      </c>
      <c r="C4431" s="5">
        <v>41489</v>
      </c>
      <c r="D4431" s="5">
        <v>41549</v>
      </c>
      <c r="E4431" s="4" t="s">
        <v>1410</v>
      </c>
      <c r="F4431" s="4" t="s">
        <v>8696</v>
      </c>
    </row>
    <row r="4432" spans="1:6" x14ac:dyDescent="0.25">
      <c r="A4432" s="4" t="str">
        <f>CONCATENATE("3071-0000-4577","")</f>
        <v>3071-0000-4577</v>
      </c>
      <c r="B4432" s="4" t="s">
        <v>9598</v>
      </c>
      <c r="C4432" s="5">
        <v>41489</v>
      </c>
      <c r="D4432" s="5">
        <v>41549</v>
      </c>
      <c r="E4432" s="4" t="s">
        <v>1410</v>
      </c>
      <c r="F4432" s="4" t="s">
        <v>8696</v>
      </c>
    </row>
    <row r="4433" spans="1:6" x14ac:dyDescent="0.25">
      <c r="A4433" s="4" t="str">
        <f>CONCATENATE("3071-0000-5068","")</f>
        <v>3071-0000-5068</v>
      </c>
      <c r="B4433" s="4" t="s">
        <v>9615</v>
      </c>
      <c r="C4433" s="5">
        <v>41489</v>
      </c>
      <c r="D4433" s="5">
        <v>41549</v>
      </c>
      <c r="E4433" s="4" t="s">
        <v>7069</v>
      </c>
      <c r="F4433" s="4" t="s">
        <v>9485</v>
      </c>
    </row>
    <row r="4434" spans="1:6" x14ac:dyDescent="0.25">
      <c r="A4434" s="4" t="str">
        <f>CONCATENATE("3071-0000-4595","")</f>
        <v>3071-0000-4595</v>
      </c>
      <c r="B4434" s="4" t="s">
        <v>9627</v>
      </c>
      <c r="C4434" s="5">
        <v>41489</v>
      </c>
      <c r="D4434" s="5">
        <v>41549</v>
      </c>
      <c r="E4434" s="4" t="s">
        <v>1410</v>
      </c>
      <c r="F4434" s="4" t="s">
        <v>8696</v>
      </c>
    </row>
    <row r="4435" spans="1:6" x14ac:dyDescent="0.25">
      <c r="A4435" s="4" t="str">
        <f>CONCATENATE("3071-0000-4580","")</f>
        <v>3071-0000-4580</v>
      </c>
      <c r="B4435" s="4" t="s">
        <v>9601</v>
      </c>
      <c r="C4435" s="5">
        <v>41489</v>
      </c>
      <c r="D4435" s="5">
        <v>41549</v>
      </c>
      <c r="E4435" s="4" t="s">
        <v>1410</v>
      </c>
      <c r="F4435" s="4" t="s">
        <v>8696</v>
      </c>
    </row>
    <row r="4436" spans="1:6" x14ac:dyDescent="0.25">
      <c r="A4436" s="4" t="str">
        <f>CONCATENATE("3071-0000-4895","")</f>
        <v>3071-0000-4895</v>
      </c>
      <c r="B4436" s="4" t="s">
        <v>9593</v>
      </c>
      <c r="C4436" s="5">
        <v>41489</v>
      </c>
      <c r="D4436" s="5">
        <v>41549</v>
      </c>
      <c r="E4436" s="4" t="s">
        <v>7069</v>
      </c>
      <c r="F4436" s="4" t="s">
        <v>9485</v>
      </c>
    </row>
    <row r="4437" spans="1:6" x14ac:dyDescent="0.25">
      <c r="A4437" s="4" t="str">
        <f>CONCATENATE("3071-0000-9340","")</f>
        <v>3071-0000-9340</v>
      </c>
      <c r="B4437" s="4" t="s">
        <v>8607</v>
      </c>
      <c r="C4437" s="5">
        <v>41489</v>
      </c>
      <c r="D4437" s="5">
        <v>41549</v>
      </c>
      <c r="E4437" s="4" t="s">
        <v>1410</v>
      </c>
      <c r="F4437" s="4" t="s">
        <v>4459</v>
      </c>
    </row>
    <row r="4438" spans="1:6" x14ac:dyDescent="0.25">
      <c r="A4438" s="4" t="str">
        <f>CONCATENATE("3071-0000-8606","")</f>
        <v>3071-0000-8606</v>
      </c>
      <c r="B4438" s="4" t="s">
        <v>6108</v>
      </c>
      <c r="C4438" s="5">
        <v>41489</v>
      </c>
      <c r="D4438" s="5">
        <v>41549</v>
      </c>
      <c r="E4438" s="4" t="s">
        <v>5185</v>
      </c>
      <c r="F4438" s="4" t="s">
        <v>5945</v>
      </c>
    </row>
    <row r="4439" spans="1:6" x14ac:dyDescent="0.25">
      <c r="A4439" s="4" t="str">
        <f>CONCATENATE("3071-0000-7836","")</f>
        <v>3071-0000-7836</v>
      </c>
      <c r="B4439" s="4" t="s">
        <v>5827</v>
      </c>
      <c r="C4439" s="5">
        <v>41489</v>
      </c>
      <c r="D4439" s="5">
        <v>41549</v>
      </c>
      <c r="E4439" s="4" t="s">
        <v>5185</v>
      </c>
      <c r="F4439" s="4" t="s">
        <v>5185</v>
      </c>
    </row>
    <row r="4440" spans="1:6" x14ac:dyDescent="0.25">
      <c r="A4440" s="4" t="str">
        <f>CONCATENATE("3071-0000-8616","")</f>
        <v>3071-0000-8616</v>
      </c>
      <c r="B4440" s="4" t="s">
        <v>6113</v>
      </c>
      <c r="C4440" s="5">
        <v>41489</v>
      </c>
      <c r="D4440" s="5">
        <v>41549</v>
      </c>
      <c r="E4440" s="4" t="s">
        <v>5185</v>
      </c>
      <c r="F4440" s="4" t="s">
        <v>5945</v>
      </c>
    </row>
    <row r="4441" spans="1:6" x14ac:dyDescent="0.25">
      <c r="A4441" s="4" t="str">
        <f>CONCATENATE("3071-0000-8610","")</f>
        <v>3071-0000-8610</v>
      </c>
      <c r="B4441" s="4" t="s">
        <v>6102</v>
      </c>
      <c r="C4441" s="5">
        <v>41489</v>
      </c>
      <c r="D4441" s="5">
        <v>41549</v>
      </c>
      <c r="E4441" s="4" t="s">
        <v>5185</v>
      </c>
      <c r="F4441" s="4" t="s">
        <v>5945</v>
      </c>
    </row>
    <row r="4442" spans="1:6" x14ac:dyDescent="0.25">
      <c r="A4442" s="4" t="str">
        <f>CONCATENATE("3071-0000-9254","")</f>
        <v>3071-0000-9254</v>
      </c>
      <c r="B4442" s="4" t="s">
        <v>8615</v>
      </c>
      <c r="C4442" s="5">
        <v>41489</v>
      </c>
      <c r="D4442" s="5">
        <v>41549</v>
      </c>
      <c r="E4442" s="4" t="s">
        <v>5185</v>
      </c>
      <c r="F4442" s="4" t="s">
        <v>5185</v>
      </c>
    </row>
    <row r="4443" spans="1:6" x14ac:dyDescent="0.25">
      <c r="A4443" s="4" t="str">
        <f>CONCATENATE("3071-0000-7396","")</f>
        <v>3071-0000-7396</v>
      </c>
      <c r="B4443" s="4" t="s">
        <v>4423</v>
      </c>
      <c r="C4443" s="5">
        <v>41489</v>
      </c>
      <c r="D4443" s="5">
        <v>41549</v>
      </c>
      <c r="E4443" s="4" t="s">
        <v>1410</v>
      </c>
      <c r="F4443" s="4" t="s">
        <v>1410</v>
      </c>
    </row>
    <row r="4444" spans="1:6" x14ac:dyDescent="0.25">
      <c r="A4444" s="4" t="str">
        <f>CONCATENATE("3071-0000-9352","")</f>
        <v>3071-0000-9352</v>
      </c>
      <c r="B4444" s="4" t="s">
        <v>8467</v>
      </c>
      <c r="C4444" s="5">
        <v>41489</v>
      </c>
      <c r="D4444" s="5">
        <v>41549</v>
      </c>
      <c r="E4444" s="4" t="s">
        <v>1410</v>
      </c>
      <c r="F4444" s="4" t="s">
        <v>4459</v>
      </c>
    </row>
    <row r="4445" spans="1:6" x14ac:dyDescent="0.25">
      <c r="A4445" s="4" t="str">
        <f>CONCATENATE("3071-0000-9400","")</f>
        <v>3071-0000-9400</v>
      </c>
      <c r="B4445" s="4" t="s">
        <v>8488</v>
      </c>
      <c r="C4445" s="5">
        <v>41489</v>
      </c>
      <c r="D4445" s="5">
        <v>41549</v>
      </c>
      <c r="E4445" s="4" t="s">
        <v>1410</v>
      </c>
      <c r="F4445" s="4" t="s">
        <v>4459</v>
      </c>
    </row>
    <row r="4446" spans="1:6" x14ac:dyDescent="0.25">
      <c r="A4446" s="4" t="str">
        <f>CONCATENATE("3071-0000-9410","")</f>
        <v>3071-0000-9410</v>
      </c>
      <c r="B4446" s="4" t="s">
        <v>8489</v>
      </c>
      <c r="C4446" s="5">
        <v>41489</v>
      </c>
      <c r="D4446" s="5">
        <v>41549</v>
      </c>
      <c r="E4446" s="4" t="s">
        <v>1410</v>
      </c>
      <c r="F4446" s="4" t="s">
        <v>4459</v>
      </c>
    </row>
    <row r="4447" spans="1:6" x14ac:dyDescent="0.25">
      <c r="A4447" s="4" t="str">
        <f>CONCATENATE("3071-0000-9069","")</f>
        <v>3071-0000-9069</v>
      </c>
      <c r="B4447" s="4" t="s">
        <v>5957</v>
      </c>
      <c r="C4447" s="5">
        <v>41489</v>
      </c>
      <c r="D4447" s="5">
        <v>41549</v>
      </c>
      <c r="E4447" s="4" t="s">
        <v>5185</v>
      </c>
      <c r="F4447" s="4" t="s">
        <v>5945</v>
      </c>
    </row>
    <row r="4448" spans="1:6" x14ac:dyDescent="0.25">
      <c r="A4448" s="4" t="str">
        <f>CONCATENATE("3071-0000-1269","")</f>
        <v>3071-0000-1269</v>
      </c>
      <c r="B4448" s="4" t="s">
        <v>2367</v>
      </c>
      <c r="C4448" s="5">
        <v>41489</v>
      </c>
      <c r="D4448" s="5">
        <v>41549</v>
      </c>
      <c r="E4448" s="4" t="s">
        <v>1381</v>
      </c>
      <c r="F4448" s="4" t="s">
        <v>2303</v>
      </c>
    </row>
    <row r="4449" spans="1:6" x14ac:dyDescent="0.25">
      <c r="A4449" s="4" t="str">
        <f>CONCATENATE("3071-0000-5010","")</f>
        <v>3071-0000-5010</v>
      </c>
      <c r="B4449" s="4" t="s">
        <v>9630</v>
      </c>
      <c r="C4449" s="5">
        <v>41489</v>
      </c>
      <c r="D4449" s="5">
        <v>41549</v>
      </c>
      <c r="E4449" s="4" t="s">
        <v>7069</v>
      </c>
      <c r="F4449" s="4" t="s">
        <v>9485</v>
      </c>
    </row>
    <row r="4450" spans="1:6" x14ac:dyDescent="0.25">
      <c r="A4450" s="4" t="str">
        <f>CONCATENATE("3071-0000-8549","")</f>
        <v>3071-0000-8549</v>
      </c>
      <c r="B4450" s="4" t="s">
        <v>6121</v>
      </c>
      <c r="C4450" s="5">
        <v>41489</v>
      </c>
      <c r="D4450" s="5">
        <v>41549</v>
      </c>
      <c r="E4450" s="4" t="s">
        <v>5185</v>
      </c>
      <c r="F4450" s="4" t="s">
        <v>5945</v>
      </c>
    </row>
    <row r="4451" spans="1:6" x14ac:dyDescent="0.25">
      <c r="A4451" s="4" t="str">
        <f>CONCATENATE("3071-0000-4881","")</f>
        <v>3071-0000-4881</v>
      </c>
      <c r="B4451" s="4" t="s">
        <v>8794</v>
      </c>
      <c r="C4451" s="5">
        <v>41489</v>
      </c>
      <c r="D4451" s="5">
        <v>41549</v>
      </c>
      <c r="E4451" s="4" t="s">
        <v>1410</v>
      </c>
      <c r="F4451" s="4" t="s">
        <v>5258</v>
      </c>
    </row>
    <row r="4452" spans="1:6" x14ac:dyDescent="0.25">
      <c r="A4452" s="4" t="str">
        <f>CONCATENATE("3071-0000-4939","")</f>
        <v>3071-0000-4939</v>
      </c>
      <c r="B4452" s="4" t="s">
        <v>8797</v>
      </c>
      <c r="C4452" s="5">
        <v>41489</v>
      </c>
      <c r="D4452" s="5">
        <v>41549</v>
      </c>
      <c r="E4452" s="4" t="s">
        <v>1410</v>
      </c>
      <c r="F4452" s="4" t="s">
        <v>5258</v>
      </c>
    </row>
    <row r="4453" spans="1:6" x14ac:dyDescent="0.25">
      <c r="A4453" s="4" t="str">
        <f>CONCATENATE("3071-0000-4882","")</f>
        <v>3071-0000-4882</v>
      </c>
      <c r="B4453" s="4" t="s">
        <v>8805</v>
      </c>
      <c r="C4453" s="5">
        <v>41489</v>
      </c>
      <c r="D4453" s="5">
        <v>41549</v>
      </c>
      <c r="E4453" s="4" t="s">
        <v>1410</v>
      </c>
      <c r="F4453" s="4" t="s">
        <v>5258</v>
      </c>
    </row>
    <row r="4454" spans="1:6" x14ac:dyDescent="0.25">
      <c r="A4454" s="4" t="str">
        <f>CONCATENATE("3071-0000-0791","")</f>
        <v>3071-0000-0791</v>
      </c>
      <c r="B4454" s="4" t="s">
        <v>172</v>
      </c>
      <c r="C4454" s="5">
        <v>41489</v>
      </c>
      <c r="D4454" s="5">
        <v>41549</v>
      </c>
      <c r="E4454" s="4" t="s">
        <v>7</v>
      </c>
      <c r="F4454" s="4" t="s">
        <v>7</v>
      </c>
    </row>
    <row r="4455" spans="1:6" x14ac:dyDescent="0.25">
      <c r="A4455" s="4" t="str">
        <f>CONCATENATE("3071-0000-5105","")</f>
        <v>3071-0000-5105</v>
      </c>
      <c r="B4455" s="4" t="s">
        <v>8811</v>
      </c>
      <c r="C4455" s="5">
        <v>41489</v>
      </c>
      <c r="D4455" s="5">
        <v>41549</v>
      </c>
      <c r="E4455" s="4" t="s">
        <v>1410</v>
      </c>
      <c r="F4455" s="4" t="s">
        <v>5258</v>
      </c>
    </row>
    <row r="4456" spans="1:6" x14ac:dyDescent="0.25">
      <c r="A4456" s="4" t="str">
        <f>CONCATENATE("3071-0000-5017","")</f>
        <v>3071-0000-5017</v>
      </c>
      <c r="B4456" s="4" t="s">
        <v>8837</v>
      </c>
      <c r="C4456" s="5">
        <v>41489</v>
      </c>
      <c r="D4456" s="5">
        <v>41549</v>
      </c>
      <c r="E4456" s="4" t="s">
        <v>1410</v>
      </c>
      <c r="F4456" s="4" t="s">
        <v>5258</v>
      </c>
    </row>
    <row r="4457" spans="1:6" x14ac:dyDescent="0.25">
      <c r="A4457" s="4" t="str">
        <f>CONCATENATE("3071-0000-5168","")</f>
        <v>3071-0000-5168</v>
      </c>
      <c r="B4457" s="4" t="s">
        <v>8981</v>
      </c>
      <c r="C4457" s="5">
        <v>41489</v>
      </c>
      <c r="D4457" s="5">
        <v>41549</v>
      </c>
      <c r="E4457" s="4" t="s">
        <v>1410</v>
      </c>
      <c r="F4457" s="4" t="s">
        <v>8903</v>
      </c>
    </row>
    <row r="4458" spans="1:6" x14ac:dyDescent="0.25">
      <c r="A4458" s="4" t="str">
        <f>CONCATENATE("3071-0000-4880","")</f>
        <v>3071-0000-4880</v>
      </c>
      <c r="B4458" s="4" t="s">
        <v>8793</v>
      </c>
      <c r="C4458" s="5">
        <v>41489</v>
      </c>
      <c r="D4458" s="5">
        <v>41549</v>
      </c>
      <c r="E4458" s="4" t="s">
        <v>1410</v>
      </c>
      <c r="F4458" s="4" t="s">
        <v>5258</v>
      </c>
    </row>
    <row r="4459" spans="1:6" x14ac:dyDescent="0.25">
      <c r="A4459" s="4" t="str">
        <f>CONCATENATE("3071-0000-4324","")</f>
        <v>3071-0000-4324</v>
      </c>
      <c r="B4459" s="4" t="s">
        <v>8900</v>
      </c>
      <c r="C4459" s="5">
        <v>41489</v>
      </c>
      <c r="D4459" s="5">
        <v>41549</v>
      </c>
      <c r="E4459" s="4" t="s">
        <v>1410</v>
      </c>
      <c r="F4459" s="4" t="s">
        <v>8696</v>
      </c>
    </row>
    <row r="4460" spans="1:6" x14ac:dyDescent="0.25">
      <c r="A4460" s="4" t="str">
        <f>CONCATENATE("3071-0000-0585","")</f>
        <v>3071-0000-0585</v>
      </c>
      <c r="B4460" s="4" t="s">
        <v>345</v>
      </c>
      <c r="C4460" s="5">
        <v>41489</v>
      </c>
      <c r="D4460" s="5">
        <v>41549</v>
      </c>
      <c r="E4460" s="4" t="s">
        <v>7</v>
      </c>
      <c r="F4460" s="4" t="s">
        <v>273</v>
      </c>
    </row>
    <row r="4461" spans="1:6" x14ac:dyDescent="0.25">
      <c r="A4461" s="4" t="str">
        <f>CONCATENATE("3071-0000-2938","")</f>
        <v>3071-0000-2938</v>
      </c>
      <c r="B4461" s="4" t="s">
        <v>1321</v>
      </c>
      <c r="C4461" s="5">
        <v>41489</v>
      </c>
      <c r="D4461" s="5">
        <v>41549</v>
      </c>
      <c r="E4461" s="4" t="s">
        <v>7</v>
      </c>
      <c r="F4461" s="4" t="s">
        <v>808</v>
      </c>
    </row>
    <row r="4462" spans="1:6" x14ac:dyDescent="0.25">
      <c r="A4462" s="4" t="str">
        <f>CONCATENATE("3071-0000-7738","")</f>
        <v>3071-0000-7738</v>
      </c>
      <c r="B4462" s="4" t="s">
        <v>4432</v>
      </c>
      <c r="C4462" s="5">
        <v>41489</v>
      </c>
      <c r="D4462" s="5">
        <v>41549</v>
      </c>
      <c r="E4462" s="4" t="s">
        <v>1410</v>
      </c>
      <c r="F4462" s="4" t="s">
        <v>1410</v>
      </c>
    </row>
    <row r="4463" spans="1:6" x14ac:dyDescent="0.25">
      <c r="A4463" s="4" t="str">
        <f>CONCATENATE("3071-0000-6591","")</f>
        <v>3071-0000-6591</v>
      </c>
      <c r="B4463" s="4" t="s">
        <v>8005</v>
      </c>
      <c r="C4463" s="5">
        <v>41489</v>
      </c>
      <c r="D4463" s="5">
        <v>41549</v>
      </c>
      <c r="E4463" s="4" t="s">
        <v>5185</v>
      </c>
      <c r="F4463" s="4" t="s">
        <v>5185</v>
      </c>
    </row>
    <row r="4464" spans="1:6" x14ac:dyDescent="0.25">
      <c r="A4464" s="4" t="str">
        <f>CONCATENATE("3071-0000-5932","")</f>
        <v>3071-0000-5932</v>
      </c>
      <c r="B4464" s="4" t="s">
        <v>7310</v>
      </c>
      <c r="C4464" s="5">
        <v>41489</v>
      </c>
      <c r="D4464" s="5">
        <v>41549</v>
      </c>
      <c r="E4464" s="4" t="s">
        <v>1410</v>
      </c>
      <c r="F4464" s="4" t="s">
        <v>7309</v>
      </c>
    </row>
    <row r="4465" spans="1:6" x14ac:dyDescent="0.25">
      <c r="A4465" s="4" t="str">
        <f>CONCATENATE("3071-0000-8793","")</f>
        <v>3071-0000-8793</v>
      </c>
      <c r="B4465" s="4" t="s">
        <v>5656</v>
      </c>
      <c r="C4465" s="5">
        <v>41489</v>
      </c>
      <c r="D4465" s="5">
        <v>41549</v>
      </c>
      <c r="E4465" s="4" t="s">
        <v>5185</v>
      </c>
      <c r="F4465" s="4" t="s">
        <v>5250</v>
      </c>
    </row>
    <row r="4466" spans="1:6" x14ac:dyDescent="0.25">
      <c r="A4466" s="4" t="str">
        <f>CONCATENATE("3071-0000-8250","")</f>
        <v>3071-0000-8250</v>
      </c>
      <c r="B4466" s="4" t="s">
        <v>5533</v>
      </c>
      <c r="C4466" s="5">
        <v>41489</v>
      </c>
      <c r="D4466" s="5">
        <v>41549</v>
      </c>
      <c r="E4466" s="4" t="s">
        <v>5185</v>
      </c>
      <c r="F4466" s="4" t="s">
        <v>5185</v>
      </c>
    </row>
    <row r="4467" spans="1:6" x14ac:dyDescent="0.25">
      <c r="A4467" s="4" t="str">
        <f>CONCATENATE("3071-0000-8442","")</f>
        <v>3071-0000-8442</v>
      </c>
      <c r="B4467" s="4" t="s">
        <v>5657</v>
      </c>
      <c r="C4467" s="5">
        <v>41489</v>
      </c>
      <c r="D4467" s="5">
        <v>41549</v>
      </c>
      <c r="E4467" s="4" t="s">
        <v>5185</v>
      </c>
      <c r="F4467" s="4" t="s">
        <v>5250</v>
      </c>
    </row>
    <row r="4468" spans="1:6" x14ac:dyDescent="0.25">
      <c r="A4468" s="4" t="str">
        <f>CONCATENATE("3071-0000-8013","")</f>
        <v>3071-0000-8013</v>
      </c>
      <c r="B4468" s="4" t="s">
        <v>5668</v>
      </c>
      <c r="C4468" s="5">
        <v>41489</v>
      </c>
      <c r="D4468" s="5">
        <v>41549</v>
      </c>
      <c r="E4468" s="4" t="s">
        <v>5185</v>
      </c>
      <c r="F4468" s="4" t="s">
        <v>5185</v>
      </c>
    </row>
    <row r="4469" spans="1:6" x14ac:dyDescent="0.25">
      <c r="A4469" s="4" t="str">
        <f>CONCATENATE("3071-0000-8365","")</f>
        <v>3071-0000-8365</v>
      </c>
      <c r="B4469" s="4" t="s">
        <v>5702</v>
      </c>
      <c r="C4469" s="5">
        <v>41489</v>
      </c>
      <c r="D4469" s="5">
        <v>41549</v>
      </c>
      <c r="E4469" s="4" t="s">
        <v>5185</v>
      </c>
      <c r="F4469" s="4" t="s">
        <v>5185</v>
      </c>
    </row>
    <row r="4470" spans="1:6" x14ac:dyDescent="0.25">
      <c r="A4470" s="4" t="str">
        <f>CONCATENATE("3071-0000-6662","")</f>
        <v>3071-0000-6662</v>
      </c>
      <c r="B4470" s="4" t="s">
        <v>7743</v>
      </c>
      <c r="C4470" s="5">
        <v>41489</v>
      </c>
      <c r="D4470" s="5">
        <v>41549</v>
      </c>
      <c r="E4470" s="4" t="s">
        <v>5185</v>
      </c>
      <c r="F4470" s="4" t="s">
        <v>5185</v>
      </c>
    </row>
    <row r="4471" spans="1:6" x14ac:dyDescent="0.25">
      <c r="A4471" s="4" t="str">
        <f>CONCATENATE("3071-0000-4403","")</f>
        <v>3071-0000-4403</v>
      </c>
      <c r="B4471" s="4" t="s">
        <v>9258</v>
      </c>
      <c r="C4471" s="5">
        <v>41489</v>
      </c>
      <c r="D4471" s="5">
        <v>41549</v>
      </c>
      <c r="E4471" s="4" t="s">
        <v>1410</v>
      </c>
      <c r="F4471" s="4" t="s">
        <v>8696</v>
      </c>
    </row>
    <row r="4472" spans="1:6" x14ac:dyDescent="0.25">
      <c r="A4472" s="4" t="str">
        <f>CONCATENATE("3071-0000-7578","")</f>
        <v>3071-0000-7578</v>
      </c>
      <c r="B4472" s="4" t="s">
        <v>4530</v>
      </c>
      <c r="C4472" s="5">
        <v>41489</v>
      </c>
      <c r="D4472" s="5">
        <v>41549</v>
      </c>
      <c r="E4472" s="4" t="s">
        <v>1410</v>
      </c>
      <c r="F4472" s="4" t="s">
        <v>1410</v>
      </c>
    </row>
    <row r="4473" spans="1:6" x14ac:dyDescent="0.25">
      <c r="A4473" s="4" t="str">
        <f>CONCATENATE("3071-0000-2505","")</f>
        <v>3071-0000-2505</v>
      </c>
      <c r="B4473" s="4" t="s">
        <v>3607</v>
      </c>
      <c r="C4473" s="5">
        <v>41489</v>
      </c>
      <c r="D4473" s="5">
        <v>41549</v>
      </c>
      <c r="E4473" s="4" t="s">
        <v>2944</v>
      </c>
      <c r="F4473" s="4" t="s">
        <v>3567</v>
      </c>
    </row>
    <row r="4474" spans="1:6" x14ac:dyDescent="0.25">
      <c r="A4474" s="4" t="str">
        <f>CONCATENATE("3071-0000-2508","")</f>
        <v>3071-0000-2508</v>
      </c>
      <c r="B4474" s="4" t="s">
        <v>3629</v>
      </c>
      <c r="C4474" s="5">
        <v>41489</v>
      </c>
      <c r="D4474" s="5">
        <v>41549</v>
      </c>
      <c r="E4474" s="4" t="s">
        <v>2944</v>
      </c>
      <c r="F4474" s="4" t="s">
        <v>3567</v>
      </c>
    </row>
    <row r="4475" spans="1:6" x14ac:dyDescent="0.25">
      <c r="A4475" s="4" t="str">
        <f>CONCATENATE("3071-0000-2509","")</f>
        <v>3071-0000-2509</v>
      </c>
      <c r="B4475" s="4" t="s">
        <v>3633</v>
      </c>
      <c r="C4475" s="5">
        <v>41489</v>
      </c>
      <c r="D4475" s="5">
        <v>41549</v>
      </c>
      <c r="E4475" s="4" t="s">
        <v>2944</v>
      </c>
      <c r="F4475" s="4" t="s">
        <v>3567</v>
      </c>
    </row>
    <row r="4476" spans="1:6" x14ac:dyDescent="0.25">
      <c r="A4476" s="4" t="str">
        <f>CONCATENATE("3071-0000-9289","")</f>
        <v>3071-0000-9289</v>
      </c>
      <c r="B4476" s="4" t="s">
        <v>8336</v>
      </c>
      <c r="C4476" s="5">
        <v>41489</v>
      </c>
      <c r="D4476" s="5">
        <v>41549</v>
      </c>
      <c r="E4476" s="4" t="s">
        <v>5185</v>
      </c>
      <c r="F4476" s="4" t="s">
        <v>5185</v>
      </c>
    </row>
    <row r="4477" spans="1:6" x14ac:dyDescent="0.25">
      <c r="A4477" s="4" t="str">
        <f>CONCATENATE("3071-0000-3903","")</f>
        <v>3071-0000-3903</v>
      </c>
      <c r="B4477" s="4" t="s">
        <v>4125</v>
      </c>
      <c r="C4477" s="5">
        <v>41489</v>
      </c>
      <c r="D4477" s="5">
        <v>41549</v>
      </c>
      <c r="E4477" s="4" t="s">
        <v>2944</v>
      </c>
      <c r="F4477" s="4" t="s">
        <v>3513</v>
      </c>
    </row>
    <row r="4478" spans="1:6" x14ac:dyDescent="0.25">
      <c r="A4478" s="4" t="str">
        <f>CONCATENATE("3071-0000-3896","")</f>
        <v>3071-0000-3896</v>
      </c>
      <c r="B4478" s="4" t="s">
        <v>4116</v>
      </c>
      <c r="C4478" s="5">
        <v>41489</v>
      </c>
      <c r="D4478" s="5">
        <v>41549</v>
      </c>
      <c r="E4478" s="4" t="s">
        <v>2944</v>
      </c>
      <c r="F4478" s="4" t="s">
        <v>3513</v>
      </c>
    </row>
    <row r="4479" spans="1:6" x14ac:dyDescent="0.25">
      <c r="A4479" s="4" t="str">
        <f>CONCATENATE("3071-0000-9369","")</f>
        <v>3071-0000-9369</v>
      </c>
      <c r="B4479" s="4" t="s">
        <v>8295</v>
      </c>
      <c r="C4479" s="5">
        <v>41489</v>
      </c>
      <c r="D4479" s="5">
        <v>41549</v>
      </c>
      <c r="E4479" s="4" t="s">
        <v>1410</v>
      </c>
      <c r="F4479" s="4" t="s">
        <v>7967</v>
      </c>
    </row>
    <row r="4480" spans="1:6" x14ac:dyDescent="0.25">
      <c r="A4480" s="4" t="str">
        <f>CONCATENATE("3071-0000-6844","")</f>
        <v>3071-0000-6844</v>
      </c>
      <c r="B4480" s="4" t="s">
        <v>7939</v>
      </c>
      <c r="C4480" s="5">
        <v>41489</v>
      </c>
      <c r="D4480" s="5">
        <v>41549</v>
      </c>
      <c r="E4480" s="4" t="s">
        <v>1410</v>
      </c>
      <c r="F4480" s="4" t="s">
        <v>4655</v>
      </c>
    </row>
    <row r="4481" spans="1:6" x14ac:dyDescent="0.25">
      <c r="A4481" s="4" t="str">
        <f>CONCATENATE("3071-0000-1743","")</f>
        <v>3071-0000-1743</v>
      </c>
      <c r="B4481" s="4" t="s">
        <v>2723</v>
      </c>
      <c r="C4481" s="5">
        <v>41489</v>
      </c>
      <c r="D4481" s="5">
        <v>41549</v>
      </c>
      <c r="E4481" s="4" t="s">
        <v>1381</v>
      </c>
      <c r="F4481" s="4" t="s">
        <v>2662</v>
      </c>
    </row>
    <row r="4482" spans="1:6" x14ac:dyDescent="0.25">
      <c r="A4482" s="4" t="str">
        <f>CONCATENATE("3071-0000-1500","")</f>
        <v>3071-0000-1500</v>
      </c>
      <c r="B4482" s="4" t="s">
        <v>2802</v>
      </c>
      <c r="C4482" s="5">
        <v>41489</v>
      </c>
      <c r="D4482" s="5">
        <v>41549</v>
      </c>
      <c r="E4482" s="4" t="s">
        <v>1381</v>
      </c>
      <c r="F4482" s="4" t="s">
        <v>2303</v>
      </c>
    </row>
    <row r="4483" spans="1:6" x14ac:dyDescent="0.25">
      <c r="A4483" s="4" t="str">
        <f>CONCATENATE("3071-0000-1083","")</f>
        <v>3071-0000-1083</v>
      </c>
      <c r="B4483" s="4" t="s">
        <v>2098</v>
      </c>
      <c r="C4483" s="5">
        <v>41489</v>
      </c>
      <c r="D4483" s="5">
        <v>41549</v>
      </c>
      <c r="E4483" s="4" t="s">
        <v>1857</v>
      </c>
      <c r="F4483" s="4" t="s">
        <v>2052</v>
      </c>
    </row>
    <row r="4484" spans="1:6" x14ac:dyDescent="0.25">
      <c r="A4484" s="4" t="str">
        <f>CONCATENATE("3071-0000-2050","")</f>
        <v>3071-0000-2050</v>
      </c>
      <c r="B4484" s="4" t="s">
        <v>3353</v>
      </c>
      <c r="C4484" s="5">
        <v>41489</v>
      </c>
      <c r="D4484" s="5">
        <v>41549</v>
      </c>
      <c r="E4484" s="4" t="s">
        <v>2944</v>
      </c>
      <c r="F4484" s="4" t="s">
        <v>2945</v>
      </c>
    </row>
    <row r="4485" spans="1:6" x14ac:dyDescent="0.25">
      <c r="A4485" s="4" t="str">
        <f>CONCATENATE("3071-0000-1893","")</f>
        <v>3071-0000-1893</v>
      </c>
      <c r="B4485" s="4" t="s">
        <v>2967</v>
      </c>
      <c r="C4485" s="5">
        <v>41489</v>
      </c>
      <c r="D4485" s="5">
        <v>41549</v>
      </c>
      <c r="E4485" s="4" t="s">
        <v>2944</v>
      </c>
      <c r="F4485" s="4" t="s">
        <v>2945</v>
      </c>
    </row>
    <row r="4486" spans="1:6" x14ac:dyDescent="0.25">
      <c r="A4486" s="4" t="str">
        <f>CONCATENATE("3071-0000-1203","")</f>
        <v>3071-0000-1203</v>
      </c>
      <c r="B4486" s="4" t="s">
        <v>1968</v>
      </c>
      <c r="C4486" s="5">
        <v>41489</v>
      </c>
      <c r="D4486" s="5">
        <v>41549</v>
      </c>
      <c r="E4486" s="4" t="s">
        <v>1857</v>
      </c>
      <c r="F4486" s="4" t="s">
        <v>1857</v>
      </c>
    </row>
    <row r="4487" spans="1:6" x14ac:dyDescent="0.25">
      <c r="A4487" s="4" t="str">
        <f>CONCATENATE("3071-0000-1875","")</f>
        <v>3071-0000-1875</v>
      </c>
      <c r="B4487" s="4" t="s">
        <v>3582</v>
      </c>
      <c r="C4487" s="5">
        <v>41489</v>
      </c>
      <c r="D4487" s="5">
        <v>41549</v>
      </c>
      <c r="E4487" s="4" t="s">
        <v>2944</v>
      </c>
      <c r="F4487" s="4" t="s">
        <v>3567</v>
      </c>
    </row>
    <row r="4488" spans="1:6" x14ac:dyDescent="0.25">
      <c r="A4488" s="4" t="str">
        <f>CONCATENATE("3071-0000-3037","")</f>
        <v>3071-0000-3037</v>
      </c>
      <c r="B4488" s="4" t="s">
        <v>1131</v>
      </c>
      <c r="C4488" s="5">
        <v>41489</v>
      </c>
      <c r="D4488" s="5">
        <v>41549</v>
      </c>
      <c r="E4488" s="4" t="s">
        <v>7</v>
      </c>
      <c r="F4488" s="4" t="s">
        <v>808</v>
      </c>
    </row>
    <row r="4489" spans="1:6" x14ac:dyDescent="0.25">
      <c r="A4489" s="4" t="str">
        <f>CONCATENATE("3071-0000-0867","")</f>
        <v>3071-0000-0867</v>
      </c>
      <c r="B4489" s="4" t="s">
        <v>1966</v>
      </c>
      <c r="C4489" s="5">
        <v>41489</v>
      </c>
      <c r="D4489" s="5">
        <v>41549</v>
      </c>
      <c r="E4489" s="4" t="s">
        <v>1857</v>
      </c>
      <c r="F4489" s="4" t="s">
        <v>1857</v>
      </c>
    </row>
    <row r="4490" spans="1:6" x14ac:dyDescent="0.25">
      <c r="A4490" s="4" t="str">
        <f>CONCATENATE("3071-0000-2143","")</f>
        <v>3071-0000-2143</v>
      </c>
      <c r="B4490" s="4" t="s">
        <v>3520</v>
      </c>
      <c r="C4490" s="5">
        <v>41489</v>
      </c>
      <c r="D4490" s="5">
        <v>41549</v>
      </c>
      <c r="E4490" s="4" t="s">
        <v>2944</v>
      </c>
      <c r="F4490" s="4" t="s">
        <v>2945</v>
      </c>
    </row>
    <row r="4491" spans="1:6" x14ac:dyDescent="0.25">
      <c r="A4491" s="4" t="str">
        <f>CONCATENATE("3071-0000-1069","")</f>
        <v>3071-0000-1069</v>
      </c>
      <c r="B4491" s="4" t="s">
        <v>1967</v>
      </c>
      <c r="C4491" s="5">
        <v>41489</v>
      </c>
      <c r="D4491" s="5">
        <v>41549</v>
      </c>
      <c r="E4491" s="4" t="s">
        <v>1857</v>
      </c>
      <c r="F4491" s="4" t="s">
        <v>1857</v>
      </c>
    </row>
    <row r="4492" spans="1:6" x14ac:dyDescent="0.25">
      <c r="A4492" s="4" t="str">
        <f>CONCATENATE("3071-0000-1235","")</f>
        <v>3071-0000-1235</v>
      </c>
      <c r="B4492" s="4" t="s">
        <v>1969</v>
      </c>
      <c r="C4492" s="5">
        <v>41489</v>
      </c>
      <c r="D4492" s="5">
        <v>41549</v>
      </c>
      <c r="E4492" s="4" t="s">
        <v>1857</v>
      </c>
      <c r="F4492" s="4" t="s">
        <v>1857</v>
      </c>
    </row>
    <row r="4493" spans="1:6" x14ac:dyDescent="0.25">
      <c r="A4493" s="4" t="str">
        <f>CONCATENATE("3071-0000-2580","")</f>
        <v>3071-0000-2580</v>
      </c>
      <c r="B4493" s="4" t="s">
        <v>3271</v>
      </c>
      <c r="C4493" s="5">
        <v>41489</v>
      </c>
      <c r="D4493" s="5">
        <v>41549</v>
      </c>
      <c r="E4493" s="4" t="s">
        <v>2944</v>
      </c>
      <c r="F4493" s="4" t="s">
        <v>3164</v>
      </c>
    </row>
    <row r="4494" spans="1:6" x14ac:dyDescent="0.25">
      <c r="A4494" s="4" t="str">
        <f>CONCATENATE("3071-0000-2261","")</f>
        <v>3071-0000-2261</v>
      </c>
      <c r="B4494" s="4" t="s">
        <v>3343</v>
      </c>
      <c r="C4494" s="5">
        <v>41489</v>
      </c>
      <c r="D4494" s="5">
        <v>41549</v>
      </c>
      <c r="E4494" s="4" t="s">
        <v>2944</v>
      </c>
      <c r="F4494" s="4" t="s">
        <v>2945</v>
      </c>
    </row>
    <row r="4495" spans="1:6" x14ac:dyDescent="0.25">
      <c r="A4495" s="4" t="str">
        <f>CONCATENATE("3071-0000-2042","")</f>
        <v>3071-0000-2042</v>
      </c>
      <c r="B4495" s="4" t="s">
        <v>3371</v>
      </c>
      <c r="C4495" s="5">
        <v>41489</v>
      </c>
      <c r="D4495" s="5">
        <v>41549</v>
      </c>
      <c r="E4495" s="4" t="s">
        <v>2944</v>
      </c>
      <c r="F4495" s="4" t="s">
        <v>2945</v>
      </c>
    </row>
    <row r="4496" spans="1:6" x14ac:dyDescent="0.25">
      <c r="A4496" s="4" t="str">
        <f>CONCATENATE("3071-0000-7773","")</f>
        <v>3071-0000-7773</v>
      </c>
      <c r="B4496" s="4" t="s">
        <v>4499</v>
      </c>
      <c r="C4496" s="5">
        <v>41489</v>
      </c>
      <c r="D4496" s="5">
        <v>41549</v>
      </c>
      <c r="E4496" s="4" t="s">
        <v>1410</v>
      </c>
      <c r="F4496" s="4" t="s">
        <v>1410</v>
      </c>
    </row>
    <row r="4497" spans="1:6" x14ac:dyDescent="0.25">
      <c r="A4497" s="4" t="str">
        <f>CONCATENATE("3071-0000-2032","")</f>
        <v>3071-0000-2032</v>
      </c>
      <c r="B4497" s="4" t="s">
        <v>3360</v>
      </c>
      <c r="C4497" s="5">
        <v>41489</v>
      </c>
      <c r="D4497" s="5">
        <v>41549</v>
      </c>
      <c r="E4497" s="4" t="s">
        <v>2944</v>
      </c>
      <c r="F4497" s="4" t="s">
        <v>2945</v>
      </c>
    </row>
    <row r="4498" spans="1:6" x14ac:dyDescent="0.25">
      <c r="A4498" s="4" t="str">
        <f>CONCATENATE("3071-0000-2038","")</f>
        <v>3071-0000-2038</v>
      </c>
      <c r="B4498" s="4" t="s">
        <v>3367</v>
      </c>
      <c r="C4498" s="5">
        <v>41489</v>
      </c>
      <c r="D4498" s="5">
        <v>41549</v>
      </c>
      <c r="E4498" s="4" t="s">
        <v>2944</v>
      </c>
      <c r="F4498" s="4" t="s">
        <v>2945</v>
      </c>
    </row>
    <row r="4499" spans="1:6" x14ac:dyDescent="0.25">
      <c r="A4499" s="4" t="str">
        <f>CONCATENATE("3071-0000-1214","")</f>
        <v>3071-0000-1214</v>
      </c>
      <c r="B4499" s="4" t="s">
        <v>2086</v>
      </c>
      <c r="C4499" s="5">
        <v>41489</v>
      </c>
      <c r="D4499" s="5">
        <v>41549</v>
      </c>
      <c r="E4499" s="4" t="s">
        <v>1857</v>
      </c>
      <c r="F4499" s="4" t="s">
        <v>2052</v>
      </c>
    </row>
    <row r="4500" spans="1:6" x14ac:dyDescent="0.25">
      <c r="A4500" s="4" t="str">
        <f>CONCATENATE("3071-0000-1091","")</f>
        <v>3071-0000-1091</v>
      </c>
      <c r="B4500" s="4" t="s">
        <v>2032</v>
      </c>
      <c r="C4500" s="5">
        <v>41489</v>
      </c>
      <c r="D4500" s="5">
        <v>41549</v>
      </c>
      <c r="E4500" s="4" t="s">
        <v>1857</v>
      </c>
      <c r="F4500" s="4" t="s">
        <v>1857</v>
      </c>
    </row>
    <row r="4501" spans="1:6" x14ac:dyDescent="0.25">
      <c r="A4501" s="4" t="str">
        <f>CONCATENATE("3071-0000-2413","")</f>
        <v>3071-0000-2413</v>
      </c>
      <c r="B4501" s="4" t="s">
        <v>2996</v>
      </c>
      <c r="C4501" s="5">
        <v>41489</v>
      </c>
      <c r="D4501" s="5">
        <v>41549</v>
      </c>
      <c r="E4501" s="4" t="s">
        <v>2944</v>
      </c>
      <c r="F4501" s="4" t="s">
        <v>2945</v>
      </c>
    </row>
    <row r="4502" spans="1:6" x14ac:dyDescent="0.25">
      <c r="A4502" s="4" t="str">
        <f>CONCATENATE("3071-0000-0441","")</f>
        <v>3071-0000-0441</v>
      </c>
      <c r="B4502" s="4" t="s">
        <v>400</v>
      </c>
      <c r="C4502" s="5">
        <v>41489</v>
      </c>
      <c r="D4502" s="5">
        <v>41549</v>
      </c>
      <c r="E4502" s="4" t="s">
        <v>7</v>
      </c>
      <c r="F4502" s="4" t="s">
        <v>7</v>
      </c>
    </row>
    <row r="4503" spans="1:6" x14ac:dyDescent="0.25">
      <c r="A4503" s="4" t="str">
        <f>CONCATENATE("3071-0000-0681","")</f>
        <v>3071-0000-0681</v>
      </c>
      <c r="B4503" s="4" t="s">
        <v>745</v>
      </c>
      <c r="C4503" s="5">
        <v>41489</v>
      </c>
      <c r="D4503" s="5">
        <v>41549</v>
      </c>
      <c r="E4503" s="4" t="s">
        <v>7</v>
      </c>
      <c r="F4503" s="4" t="s">
        <v>273</v>
      </c>
    </row>
    <row r="4504" spans="1:6" x14ac:dyDescent="0.25">
      <c r="A4504" s="4" t="str">
        <f>CONCATENATE("3071-0000-0219","")</f>
        <v>3071-0000-0219</v>
      </c>
      <c r="B4504" s="4" t="s">
        <v>467</v>
      </c>
      <c r="C4504" s="5">
        <v>41489</v>
      </c>
      <c r="D4504" s="5">
        <v>41549</v>
      </c>
      <c r="E4504" s="4" t="s">
        <v>7</v>
      </c>
      <c r="F4504" s="4" t="s">
        <v>7</v>
      </c>
    </row>
    <row r="4505" spans="1:6" x14ac:dyDescent="0.25">
      <c r="A4505" s="4" t="str">
        <f>CONCATENATE("3071-0000-3275","")</f>
        <v>3071-0000-3275</v>
      </c>
      <c r="B4505" s="4" t="s">
        <v>1368</v>
      </c>
      <c r="C4505" s="5">
        <v>41489</v>
      </c>
      <c r="D4505" s="5">
        <v>41549</v>
      </c>
      <c r="E4505" s="4" t="s">
        <v>7</v>
      </c>
      <c r="F4505" s="4" t="s">
        <v>982</v>
      </c>
    </row>
    <row r="4506" spans="1:6" x14ac:dyDescent="0.25">
      <c r="A4506" s="4" t="str">
        <f>CONCATENATE("3071-0000-0371","")</f>
        <v>3071-0000-0371</v>
      </c>
      <c r="B4506" s="4" t="s">
        <v>585</v>
      </c>
      <c r="C4506" s="5">
        <v>41489</v>
      </c>
      <c r="D4506" s="5">
        <v>41549</v>
      </c>
      <c r="E4506" s="4" t="s">
        <v>7</v>
      </c>
      <c r="F4506" s="4" t="s">
        <v>7</v>
      </c>
    </row>
    <row r="4507" spans="1:6" x14ac:dyDescent="0.25">
      <c r="A4507" s="4" t="str">
        <f>CONCATENATE("3071-0000-0772","")</f>
        <v>3071-0000-0772</v>
      </c>
      <c r="B4507" s="4" t="s">
        <v>591</v>
      </c>
      <c r="C4507" s="5">
        <v>41489</v>
      </c>
      <c r="D4507" s="5">
        <v>41549</v>
      </c>
      <c r="E4507" s="4" t="s">
        <v>7</v>
      </c>
      <c r="F4507" s="4" t="s">
        <v>7</v>
      </c>
    </row>
    <row r="4508" spans="1:6" x14ac:dyDescent="0.25">
      <c r="A4508" s="4" t="str">
        <f>CONCATENATE("3071-0000-3981","")</f>
        <v>3071-0000-3981</v>
      </c>
      <c r="B4508" s="4" t="s">
        <v>4146</v>
      </c>
      <c r="C4508" s="5">
        <v>41489</v>
      </c>
      <c r="D4508" s="5">
        <v>41549</v>
      </c>
      <c r="E4508" s="4" t="s">
        <v>2944</v>
      </c>
      <c r="F4508" s="4" t="s">
        <v>3513</v>
      </c>
    </row>
    <row r="4509" spans="1:6" x14ac:dyDescent="0.25">
      <c r="A4509" s="4" t="str">
        <f>CONCATENATE("3071-0000-4075","")</f>
        <v>3071-0000-4075</v>
      </c>
      <c r="B4509" s="4" t="s">
        <v>4135</v>
      </c>
      <c r="C4509" s="5">
        <v>41489</v>
      </c>
      <c r="D4509" s="5">
        <v>41549</v>
      </c>
      <c r="E4509" s="4" t="s">
        <v>7</v>
      </c>
      <c r="F4509" s="4" t="s">
        <v>1419</v>
      </c>
    </row>
    <row r="4510" spans="1:6" x14ac:dyDescent="0.25">
      <c r="A4510" s="4" t="str">
        <f>CONCATENATE("3071-0000-5172","")</f>
        <v>3071-0000-5172</v>
      </c>
      <c r="B4510" s="4" t="s">
        <v>8984</v>
      </c>
      <c r="C4510" s="5">
        <v>41489</v>
      </c>
      <c r="D4510" s="5">
        <v>41549</v>
      </c>
      <c r="E4510" s="4" t="s">
        <v>1410</v>
      </c>
      <c r="F4510" s="4" t="s">
        <v>8903</v>
      </c>
    </row>
    <row r="4511" spans="1:6" x14ac:dyDescent="0.25">
      <c r="A4511" s="4" t="str">
        <f>CONCATENATE("3071-0000-5162","")</f>
        <v>3071-0000-5162</v>
      </c>
      <c r="B4511" s="4" t="s">
        <v>9006</v>
      </c>
      <c r="C4511" s="5">
        <v>41489</v>
      </c>
      <c r="D4511" s="5">
        <v>41549</v>
      </c>
      <c r="E4511" s="4" t="s">
        <v>1410</v>
      </c>
      <c r="F4511" s="4" t="s">
        <v>8903</v>
      </c>
    </row>
    <row r="4512" spans="1:6" x14ac:dyDescent="0.25">
      <c r="A4512" s="4" t="str">
        <f>CONCATENATE("3071-0000-4264","")</f>
        <v>3071-0000-4264</v>
      </c>
      <c r="B4512" s="4" t="s">
        <v>8912</v>
      </c>
      <c r="C4512" s="5">
        <v>41489</v>
      </c>
      <c r="D4512" s="5">
        <v>41549</v>
      </c>
      <c r="E4512" s="4" t="s">
        <v>1410</v>
      </c>
      <c r="F4512" s="4" t="s">
        <v>8903</v>
      </c>
    </row>
    <row r="4513" spans="1:6" x14ac:dyDescent="0.25">
      <c r="A4513" s="4" t="str">
        <f>CONCATENATE("3071-0000-5112","")</f>
        <v>3071-0000-5112</v>
      </c>
      <c r="B4513" s="4" t="s">
        <v>8911</v>
      </c>
      <c r="C4513" s="5">
        <v>41489</v>
      </c>
      <c r="D4513" s="5">
        <v>41549</v>
      </c>
      <c r="E4513" s="4" t="s">
        <v>1410</v>
      </c>
      <c r="F4513" s="4" t="s">
        <v>1410</v>
      </c>
    </row>
    <row r="4514" spans="1:6" x14ac:dyDescent="0.25">
      <c r="A4514" s="4" t="str">
        <f>CONCATENATE("3071-0000-5161","")</f>
        <v>3071-0000-5161</v>
      </c>
      <c r="B4514" s="4" t="s">
        <v>8986</v>
      </c>
      <c r="C4514" s="5">
        <v>41489</v>
      </c>
      <c r="D4514" s="5">
        <v>41549</v>
      </c>
      <c r="E4514" s="4" t="s">
        <v>1410</v>
      </c>
      <c r="F4514" s="4" t="s">
        <v>8903</v>
      </c>
    </row>
    <row r="4515" spans="1:6" x14ac:dyDescent="0.25">
      <c r="A4515" s="4" t="str">
        <f>CONCATENATE("3071-0000-5189","")</f>
        <v>3071-0000-5189</v>
      </c>
      <c r="B4515" s="4" t="s">
        <v>8947</v>
      </c>
      <c r="C4515" s="5">
        <v>41489</v>
      </c>
      <c r="D4515" s="5">
        <v>41549</v>
      </c>
      <c r="E4515" s="4" t="s">
        <v>1410</v>
      </c>
      <c r="F4515" s="4" t="s">
        <v>8903</v>
      </c>
    </row>
    <row r="4516" spans="1:6" x14ac:dyDescent="0.25">
      <c r="A4516" s="4" t="str">
        <f>CONCATENATE("3071-0000-5163","")</f>
        <v>3071-0000-5163</v>
      </c>
      <c r="B4516" s="4" t="s">
        <v>9007</v>
      </c>
      <c r="C4516" s="5">
        <v>41489</v>
      </c>
      <c r="D4516" s="5">
        <v>41549</v>
      </c>
      <c r="E4516" s="4" t="s">
        <v>1410</v>
      </c>
      <c r="F4516" s="4" t="s">
        <v>8903</v>
      </c>
    </row>
    <row r="4517" spans="1:6" x14ac:dyDescent="0.25">
      <c r="A4517" s="4" t="str">
        <f>CONCATENATE("3071-0000-4115","")</f>
        <v>3071-0000-4115</v>
      </c>
      <c r="B4517" s="4" t="s">
        <v>4184</v>
      </c>
      <c r="C4517" s="5">
        <v>41489</v>
      </c>
      <c r="D4517" s="5">
        <v>41549</v>
      </c>
      <c r="E4517" s="4" t="s">
        <v>7</v>
      </c>
      <c r="F4517" s="4" t="s">
        <v>1419</v>
      </c>
    </row>
    <row r="4518" spans="1:6" x14ac:dyDescent="0.25">
      <c r="A4518" s="4" t="str">
        <f>CONCATENATE("3071-0000-4113","")</f>
        <v>3071-0000-4113</v>
      </c>
      <c r="B4518" s="4" t="s">
        <v>4182</v>
      </c>
      <c r="C4518" s="5">
        <v>41489</v>
      </c>
      <c r="D4518" s="5">
        <v>41549</v>
      </c>
      <c r="E4518" s="4" t="s">
        <v>7</v>
      </c>
      <c r="F4518" s="4" t="s">
        <v>1419</v>
      </c>
    </row>
    <row r="4519" spans="1:6" x14ac:dyDescent="0.25">
      <c r="A4519" s="4" t="str">
        <f>CONCATENATE("3071-0000-4118","")</f>
        <v>3071-0000-4118</v>
      </c>
      <c r="B4519" s="4" t="s">
        <v>4183</v>
      </c>
      <c r="C4519" s="5">
        <v>41489</v>
      </c>
      <c r="D4519" s="5">
        <v>41549</v>
      </c>
      <c r="E4519" s="4" t="s">
        <v>7</v>
      </c>
      <c r="F4519" s="4" t="s">
        <v>1419</v>
      </c>
    </row>
    <row r="4520" spans="1:6" x14ac:dyDescent="0.25">
      <c r="A4520" s="4" t="str">
        <f>CONCATENATE("3071-0000-1843","")</f>
        <v>3071-0000-1843</v>
      </c>
      <c r="B4520" s="4" t="s">
        <v>2552</v>
      </c>
      <c r="C4520" s="5">
        <v>41489</v>
      </c>
      <c r="D4520" s="5">
        <v>41549</v>
      </c>
      <c r="E4520" s="4" t="s">
        <v>1381</v>
      </c>
      <c r="F4520" s="4" t="s">
        <v>2303</v>
      </c>
    </row>
    <row r="4521" spans="1:6" x14ac:dyDescent="0.25">
      <c r="A4521" s="4" t="str">
        <f>CONCATENATE("3071-0000-1770","")</f>
        <v>3071-0000-1770</v>
      </c>
      <c r="B4521" s="4" t="s">
        <v>2730</v>
      </c>
      <c r="C4521" s="5">
        <v>41489</v>
      </c>
      <c r="D4521" s="5">
        <v>41549</v>
      </c>
      <c r="E4521" s="4" t="s">
        <v>1381</v>
      </c>
      <c r="F4521" s="4" t="s">
        <v>2662</v>
      </c>
    </row>
    <row r="4522" spans="1:6" x14ac:dyDescent="0.25">
      <c r="A4522" s="4" t="str">
        <f>CONCATENATE("3071-0000-1510","")</f>
        <v>3071-0000-1510</v>
      </c>
      <c r="B4522" s="4" t="s">
        <v>2517</v>
      </c>
      <c r="C4522" s="5">
        <v>41489</v>
      </c>
      <c r="D4522" s="5">
        <v>41549</v>
      </c>
      <c r="E4522" s="4" t="s">
        <v>1381</v>
      </c>
      <c r="F4522" s="4" t="s">
        <v>2303</v>
      </c>
    </row>
    <row r="4523" spans="1:6" x14ac:dyDescent="0.25">
      <c r="A4523" s="4" t="str">
        <f>CONCATENATE("3071-0000-1599","")</f>
        <v>3071-0000-1599</v>
      </c>
      <c r="B4523" s="4" t="s">
        <v>2909</v>
      </c>
      <c r="C4523" s="5">
        <v>41489</v>
      </c>
      <c r="D4523" s="5">
        <v>41549</v>
      </c>
      <c r="E4523" s="4" t="s">
        <v>1381</v>
      </c>
      <c r="F4523" s="4" t="s">
        <v>2303</v>
      </c>
    </row>
    <row r="4524" spans="1:6" x14ac:dyDescent="0.25">
      <c r="A4524" s="4" t="str">
        <f>CONCATENATE("3071-0000-1113","")</f>
        <v>3071-0000-1113</v>
      </c>
      <c r="B4524" s="4" t="s">
        <v>1901</v>
      </c>
      <c r="C4524" s="5">
        <v>41489</v>
      </c>
      <c r="D4524" s="5">
        <v>41549</v>
      </c>
      <c r="E4524" s="4" t="s">
        <v>1857</v>
      </c>
      <c r="F4524" s="4" t="s">
        <v>1857</v>
      </c>
    </row>
    <row r="4525" spans="1:6" x14ac:dyDescent="0.25">
      <c r="A4525" s="4" t="str">
        <f>CONCATENATE("3071-0000-2164","")</f>
        <v>3071-0000-2164</v>
      </c>
      <c r="B4525" s="4" t="s">
        <v>3208</v>
      </c>
      <c r="C4525" s="5">
        <v>41489</v>
      </c>
      <c r="D4525" s="5">
        <v>41549</v>
      </c>
      <c r="E4525" s="4" t="s">
        <v>2944</v>
      </c>
      <c r="F4525" s="4" t="s">
        <v>2945</v>
      </c>
    </row>
    <row r="4526" spans="1:6" x14ac:dyDescent="0.25">
      <c r="A4526" s="4" t="str">
        <f>CONCATENATE("3071-0000-7067","")</f>
        <v>3071-0000-7067</v>
      </c>
      <c r="B4526" s="4" t="s">
        <v>4676</v>
      </c>
      <c r="C4526" s="5">
        <v>41489</v>
      </c>
      <c r="D4526" s="5">
        <v>41549</v>
      </c>
      <c r="E4526" s="4" t="s">
        <v>1410</v>
      </c>
      <c r="F4526" s="4" t="s">
        <v>1410</v>
      </c>
    </row>
    <row r="4527" spans="1:6" x14ac:dyDescent="0.25">
      <c r="A4527" s="4" t="str">
        <f>CONCATENATE("3071-0000-0852","")</f>
        <v>3071-0000-0852</v>
      </c>
      <c r="B4527" s="4" t="s">
        <v>1939</v>
      </c>
      <c r="C4527" s="5">
        <v>41489</v>
      </c>
      <c r="D4527" s="5">
        <v>41549</v>
      </c>
      <c r="E4527" s="4" t="s">
        <v>1857</v>
      </c>
      <c r="F4527" s="4" t="s">
        <v>1857</v>
      </c>
    </row>
    <row r="4528" spans="1:6" x14ac:dyDescent="0.25">
      <c r="A4528" s="4" t="str">
        <f>CONCATENATE("3071-0000-2566","")</f>
        <v>3071-0000-2566</v>
      </c>
      <c r="B4528" s="4" t="s">
        <v>3268</v>
      </c>
      <c r="C4528" s="5">
        <v>41489</v>
      </c>
      <c r="D4528" s="5">
        <v>41549</v>
      </c>
      <c r="E4528" s="4" t="s">
        <v>2944</v>
      </c>
      <c r="F4528" s="4" t="s">
        <v>3164</v>
      </c>
    </row>
    <row r="4529" spans="1:6" x14ac:dyDescent="0.25">
      <c r="A4529" s="4" t="str">
        <f>CONCATENATE("3071-0000-5550","")</f>
        <v>3071-0000-5550</v>
      </c>
      <c r="B4529" s="4" t="s">
        <v>7335</v>
      </c>
      <c r="C4529" s="5">
        <v>41489</v>
      </c>
      <c r="D4529" s="5">
        <v>41549</v>
      </c>
      <c r="E4529" s="4" t="s">
        <v>5185</v>
      </c>
      <c r="F4529" s="4" t="s">
        <v>5185</v>
      </c>
    </row>
    <row r="4530" spans="1:6" x14ac:dyDescent="0.25">
      <c r="A4530" s="4" t="str">
        <f>CONCATENATE("3071-0000-2632","")</f>
        <v>3071-0000-2632</v>
      </c>
      <c r="B4530" s="4" t="s">
        <v>2962</v>
      </c>
      <c r="C4530" s="5">
        <v>41489</v>
      </c>
      <c r="D4530" s="5">
        <v>41549</v>
      </c>
      <c r="E4530" s="4" t="s">
        <v>2944</v>
      </c>
      <c r="F4530" s="4" t="s">
        <v>2949</v>
      </c>
    </row>
    <row r="4531" spans="1:6" x14ac:dyDescent="0.25">
      <c r="A4531" s="4" t="str">
        <f>CONCATENATE("3071-0000-5560","")</f>
        <v>3071-0000-5560</v>
      </c>
      <c r="B4531" s="4" t="s">
        <v>7405</v>
      </c>
      <c r="C4531" s="5">
        <v>41489</v>
      </c>
      <c r="D4531" s="5">
        <v>41549</v>
      </c>
      <c r="E4531" s="4" t="s">
        <v>5185</v>
      </c>
      <c r="F4531" s="4" t="s">
        <v>5185</v>
      </c>
    </row>
    <row r="4532" spans="1:6" x14ac:dyDescent="0.25">
      <c r="A4532" s="4" t="str">
        <f>CONCATENATE("3071-0000-9251","")</f>
        <v>3071-0000-9251</v>
      </c>
      <c r="B4532" s="4" t="s">
        <v>8601</v>
      </c>
      <c r="C4532" s="5">
        <v>41489</v>
      </c>
      <c r="D4532" s="5">
        <v>41549</v>
      </c>
      <c r="E4532" s="4" t="s">
        <v>5185</v>
      </c>
      <c r="F4532" s="4" t="s">
        <v>5185</v>
      </c>
    </row>
    <row r="4533" spans="1:6" x14ac:dyDescent="0.25">
      <c r="A4533" s="4" t="str">
        <f>CONCATENATE("3071-0000-8159","")</f>
        <v>3071-0000-8159</v>
      </c>
      <c r="B4533" s="4" t="s">
        <v>5410</v>
      </c>
      <c r="C4533" s="5">
        <v>41489</v>
      </c>
      <c r="D4533" s="5">
        <v>41549</v>
      </c>
      <c r="E4533" s="4" t="s">
        <v>5185</v>
      </c>
      <c r="F4533" s="4" t="s">
        <v>5185</v>
      </c>
    </row>
    <row r="4534" spans="1:6" x14ac:dyDescent="0.25">
      <c r="A4534" s="4" t="str">
        <f>CONCATENATE("3071-0000-0346","")</f>
        <v>3071-0000-0346</v>
      </c>
      <c r="B4534" s="4" t="s">
        <v>510</v>
      </c>
      <c r="C4534" s="5">
        <v>41489</v>
      </c>
      <c r="D4534" s="5">
        <v>41549</v>
      </c>
      <c r="E4534" s="4" t="s">
        <v>7</v>
      </c>
      <c r="F4534" s="4" t="s">
        <v>7</v>
      </c>
    </row>
    <row r="4535" spans="1:6" x14ac:dyDescent="0.25">
      <c r="A4535" s="4" t="str">
        <f>CONCATENATE("3071-0000-7259","")</f>
        <v>3071-0000-7259</v>
      </c>
      <c r="B4535" s="4" t="s">
        <v>5041</v>
      </c>
      <c r="C4535" s="5">
        <v>41489</v>
      </c>
      <c r="D4535" s="5">
        <v>41549</v>
      </c>
      <c r="E4535" s="4" t="s">
        <v>1410</v>
      </c>
      <c r="F4535" s="4" t="s">
        <v>1410</v>
      </c>
    </row>
    <row r="4536" spans="1:6" x14ac:dyDescent="0.25">
      <c r="A4536" s="4" t="str">
        <f>CONCATENATE("3071-0000-3348","")</f>
        <v>3071-0000-3348</v>
      </c>
      <c r="B4536" s="4" t="s">
        <v>1472</v>
      </c>
      <c r="C4536" s="5">
        <v>41489</v>
      </c>
      <c r="D4536" s="5">
        <v>41549</v>
      </c>
      <c r="E4536" s="4" t="s">
        <v>1410</v>
      </c>
      <c r="F4536" s="4" t="s">
        <v>1411</v>
      </c>
    </row>
    <row r="4537" spans="1:6" x14ac:dyDescent="0.25">
      <c r="A4537" s="4" t="str">
        <f>CONCATENATE("3071-0000-0764","")</f>
        <v>3071-0000-0764</v>
      </c>
      <c r="B4537" s="4" t="s">
        <v>169</v>
      </c>
      <c r="C4537" s="5">
        <v>41489</v>
      </c>
      <c r="D4537" s="5">
        <v>41549</v>
      </c>
      <c r="E4537" s="4" t="s">
        <v>7</v>
      </c>
      <c r="F4537" s="4" t="s">
        <v>7</v>
      </c>
    </row>
    <row r="4538" spans="1:6" x14ac:dyDescent="0.25">
      <c r="A4538" s="4" t="str">
        <f>CONCATENATE("3071-0000-0425","")</f>
        <v>3071-0000-0425</v>
      </c>
      <c r="B4538" s="4" t="s">
        <v>779</v>
      </c>
      <c r="C4538" s="5">
        <v>41489</v>
      </c>
      <c r="D4538" s="5">
        <v>41549</v>
      </c>
      <c r="E4538" s="4" t="s">
        <v>7</v>
      </c>
      <c r="F4538" s="4" t="s">
        <v>7</v>
      </c>
    </row>
    <row r="4539" spans="1:6" x14ac:dyDescent="0.25">
      <c r="A4539" s="4" t="str">
        <f>CONCATENATE("3071-0000-9609","")</f>
        <v>3071-0000-9609</v>
      </c>
      <c r="B4539" s="4" t="s">
        <v>8448</v>
      </c>
      <c r="C4539" s="5">
        <v>41489</v>
      </c>
      <c r="D4539" s="5">
        <v>41549</v>
      </c>
      <c r="E4539" s="4" t="s">
        <v>1410</v>
      </c>
      <c r="F4539" s="4" t="s">
        <v>4459</v>
      </c>
    </row>
    <row r="4540" spans="1:6" x14ac:dyDescent="0.25">
      <c r="A4540" s="4" t="str">
        <f>CONCATENATE("3071-0000-3936","")</f>
        <v>3071-0000-3936</v>
      </c>
      <c r="B4540" s="4" t="s">
        <v>3949</v>
      </c>
      <c r="C4540" s="5">
        <v>41489</v>
      </c>
      <c r="D4540" s="5">
        <v>41549</v>
      </c>
      <c r="E4540" s="4" t="s">
        <v>7</v>
      </c>
      <c r="F4540" s="4" t="s">
        <v>1419</v>
      </c>
    </row>
    <row r="4541" spans="1:6" x14ac:dyDescent="0.25">
      <c r="A4541" s="4" t="str">
        <f>CONCATENATE("3071-0000-2879","")</f>
        <v>3071-0000-2879</v>
      </c>
      <c r="B4541" s="4" t="s">
        <v>1402</v>
      </c>
      <c r="C4541" s="5">
        <v>41489</v>
      </c>
      <c r="D4541" s="5">
        <v>41549</v>
      </c>
      <c r="E4541" s="4" t="s">
        <v>7</v>
      </c>
      <c r="F4541" s="4" t="s">
        <v>808</v>
      </c>
    </row>
    <row r="4542" spans="1:6" x14ac:dyDescent="0.25">
      <c r="A4542" s="4" t="str">
        <f>CONCATENATE("3071-0000-3470","")</f>
        <v>3071-0000-3470</v>
      </c>
      <c r="B4542" s="4" t="s">
        <v>1760</v>
      </c>
      <c r="C4542" s="5">
        <v>41489</v>
      </c>
      <c r="D4542" s="5">
        <v>41549</v>
      </c>
      <c r="E4542" s="4" t="s">
        <v>1410</v>
      </c>
      <c r="F4542" s="4" t="s">
        <v>1411</v>
      </c>
    </row>
    <row r="4543" spans="1:6" x14ac:dyDescent="0.25">
      <c r="A4543" s="4" t="str">
        <f>CONCATENATE("3071-0000-7312","")</f>
        <v>3071-0000-7312</v>
      </c>
      <c r="B4543" s="4" t="s">
        <v>5053</v>
      </c>
      <c r="C4543" s="5">
        <v>41489</v>
      </c>
      <c r="D4543" s="5">
        <v>41549</v>
      </c>
      <c r="E4543" s="4" t="s">
        <v>1410</v>
      </c>
      <c r="F4543" s="4" t="s">
        <v>1410</v>
      </c>
    </row>
    <row r="4544" spans="1:6" x14ac:dyDescent="0.25">
      <c r="A4544" s="4" t="str">
        <f>CONCATENATE("3071-0000-2535","")</f>
        <v>3071-0000-2535</v>
      </c>
      <c r="B4544" s="4" t="s">
        <v>3758</v>
      </c>
      <c r="C4544" s="5">
        <v>41489</v>
      </c>
      <c r="D4544" s="5">
        <v>41549</v>
      </c>
      <c r="E4544" s="4" t="s">
        <v>2944</v>
      </c>
      <c r="F4544" s="4" t="s">
        <v>3115</v>
      </c>
    </row>
    <row r="4545" spans="1:6" x14ac:dyDescent="0.25">
      <c r="A4545" s="4" t="str">
        <f>CONCATENATE("3071-0000-7220","")</f>
        <v>3071-0000-7220</v>
      </c>
      <c r="B4545" s="4" t="s">
        <v>5006</v>
      </c>
      <c r="C4545" s="5">
        <v>41489</v>
      </c>
      <c r="D4545" s="5">
        <v>41549</v>
      </c>
      <c r="E4545" s="4" t="s">
        <v>1410</v>
      </c>
      <c r="F4545" s="4" t="s">
        <v>1410</v>
      </c>
    </row>
    <row r="4546" spans="1:6" x14ac:dyDescent="0.25">
      <c r="A4546" s="4" t="str">
        <f>CONCATENATE("3071-0000-0580","")</f>
        <v>3071-0000-0580</v>
      </c>
      <c r="B4546" s="4" t="s">
        <v>580</v>
      </c>
      <c r="C4546" s="5">
        <v>41489</v>
      </c>
      <c r="D4546" s="5">
        <v>41549</v>
      </c>
      <c r="E4546" s="4" t="s">
        <v>7</v>
      </c>
      <c r="F4546" s="4" t="s">
        <v>7</v>
      </c>
    </row>
    <row r="4547" spans="1:6" x14ac:dyDescent="0.25">
      <c r="A4547" s="4" t="str">
        <f>CONCATENATE("3071-0000-4138","")</f>
        <v>3071-0000-4138</v>
      </c>
      <c r="B4547" s="4" t="s">
        <v>4244</v>
      </c>
      <c r="C4547" s="5">
        <v>41489</v>
      </c>
      <c r="D4547" s="5">
        <v>41549</v>
      </c>
      <c r="E4547" s="4" t="s">
        <v>7</v>
      </c>
      <c r="F4547" s="4" t="s">
        <v>1419</v>
      </c>
    </row>
    <row r="4548" spans="1:6" x14ac:dyDescent="0.25">
      <c r="A4548" s="4" t="str">
        <f>CONCATENATE("3071-0000-1227","")</f>
        <v>3071-0000-1227</v>
      </c>
      <c r="B4548" s="4" t="s">
        <v>2287</v>
      </c>
      <c r="C4548" s="5">
        <v>41489</v>
      </c>
      <c r="D4548" s="5">
        <v>41549</v>
      </c>
      <c r="E4548" s="4" t="s">
        <v>1381</v>
      </c>
      <c r="F4548" s="4" t="s">
        <v>2259</v>
      </c>
    </row>
    <row r="4549" spans="1:6" x14ac:dyDescent="0.25">
      <c r="A4549" s="4" t="str">
        <f>CONCATENATE("3071-0000-9271","")</f>
        <v>3071-0000-9271</v>
      </c>
      <c r="B4549" s="4" t="s">
        <v>8549</v>
      </c>
      <c r="C4549" s="5">
        <v>41489</v>
      </c>
      <c r="D4549" s="5">
        <v>41549</v>
      </c>
      <c r="E4549" s="4" t="s">
        <v>5185</v>
      </c>
      <c r="F4549" s="4" t="s">
        <v>5185</v>
      </c>
    </row>
    <row r="4550" spans="1:6" x14ac:dyDescent="0.25">
      <c r="A4550" s="4" t="str">
        <f>CONCATENATE("3071-0000-9624","")</f>
        <v>3071-0000-9624</v>
      </c>
      <c r="B4550" s="4" t="s">
        <v>8454</v>
      </c>
      <c r="C4550" s="5">
        <v>41489</v>
      </c>
      <c r="D4550" s="5">
        <v>41549</v>
      </c>
      <c r="E4550" s="4" t="s">
        <v>1410</v>
      </c>
      <c r="F4550" s="4" t="s">
        <v>4459</v>
      </c>
    </row>
    <row r="4551" spans="1:6" x14ac:dyDescent="0.25">
      <c r="A4551" s="4" t="str">
        <f>CONCATENATE("3071-0000-3939","")</f>
        <v>3071-0000-3939</v>
      </c>
      <c r="B4551" s="4" t="s">
        <v>3929</v>
      </c>
      <c r="C4551" s="5">
        <v>41489</v>
      </c>
      <c r="D4551" s="5">
        <v>41549</v>
      </c>
      <c r="E4551" s="4" t="s">
        <v>2944</v>
      </c>
      <c r="F4551" s="4" t="s">
        <v>3513</v>
      </c>
    </row>
    <row r="4552" spans="1:6" x14ac:dyDescent="0.25">
      <c r="A4552" s="4" t="str">
        <f>CONCATENATE("3071-0000-4178","")</f>
        <v>3071-0000-4178</v>
      </c>
      <c r="B4552" s="4" t="s">
        <v>3938</v>
      </c>
      <c r="C4552" s="5">
        <v>41489</v>
      </c>
      <c r="D4552" s="5">
        <v>41549</v>
      </c>
      <c r="E4552" s="4" t="s">
        <v>7</v>
      </c>
      <c r="F4552" s="4" t="s">
        <v>1419</v>
      </c>
    </row>
    <row r="4553" spans="1:6" x14ac:dyDescent="0.25">
      <c r="A4553" s="4" t="str">
        <f>CONCATENATE("3071-0000-3414","")</f>
        <v>3071-0000-3414</v>
      </c>
      <c r="B4553" s="4" t="s">
        <v>1595</v>
      </c>
      <c r="C4553" s="5">
        <v>41489</v>
      </c>
      <c r="D4553" s="5">
        <v>41549</v>
      </c>
      <c r="E4553" s="4" t="s">
        <v>1410</v>
      </c>
      <c r="F4553" s="4" t="s">
        <v>1411</v>
      </c>
    </row>
    <row r="4554" spans="1:6" x14ac:dyDescent="0.25">
      <c r="A4554" s="4" t="str">
        <f>CONCATENATE("3071-0000-8320","")</f>
        <v>3071-0000-8320</v>
      </c>
      <c r="B4554" s="4" t="s">
        <v>5413</v>
      </c>
      <c r="C4554" s="5">
        <v>41489</v>
      </c>
      <c r="D4554" s="5">
        <v>41549</v>
      </c>
      <c r="E4554" s="4" t="s">
        <v>5185</v>
      </c>
      <c r="F4554" s="4" t="s">
        <v>5185</v>
      </c>
    </row>
    <row r="4555" spans="1:6" x14ac:dyDescent="0.25">
      <c r="A4555" s="4" t="str">
        <f>CONCATENATE("3071-0000-7284","")</f>
        <v>3071-0000-7284</v>
      </c>
      <c r="B4555" s="4" t="s">
        <v>5043</v>
      </c>
      <c r="C4555" s="5">
        <v>41489</v>
      </c>
      <c r="D4555" s="5">
        <v>41549</v>
      </c>
      <c r="E4555" s="4" t="s">
        <v>1410</v>
      </c>
      <c r="F4555" s="4" t="s">
        <v>1410</v>
      </c>
    </row>
    <row r="4556" spans="1:6" x14ac:dyDescent="0.25">
      <c r="A4556" s="4" t="str">
        <f>CONCATENATE("3071-0000-4139","")</f>
        <v>3071-0000-4139</v>
      </c>
      <c r="B4556" s="4" t="s">
        <v>4243</v>
      </c>
      <c r="C4556" s="5">
        <v>41489</v>
      </c>
      <c r="D4556" s="5">
        <v>41549</v>
      </c>
      <c r="E4556" s="4" t="s">
        <v>7</v>
      </c>
      <c r="F4556" s="4" t="s">
        <v>1419</v>
      </c>
    </row>
    <row r="4557" spans="1:6" x14ac:dyDescent="0.25">
      <c r="A4557" s="4" t="str">
        <f>CONCATENATE("3071-0000-7477","")</f>
        <v>3071-0000-7477</v>
      </c>
      <c r="B4557" s="4" t="s">
        <v>4771</v>
      </c>
      <c r="C4557" s="5">
        <v>41489</v>
      </c>
      <c r="D4557" s="5">
        <v>41549</v>
      </c>
      <c r="E4557" s="4" t="s">
        <v>1410</v>
      </c>
      <c r="F4557" s="4" t="s">
        <v>4655</v>
      </c>
    </row>
    <row r="4558" spans="1:6" x14ac:dyDescent="0.25">
      <c r="A4558" s="4" t="str">
        <f>CONCATENATE("3071-0000-3379","")</f>
        <v>3071-0000-3379</v>
      </c>
      <c r="B4558" s="4" t="s">
        <v>1521</v>
      </c>
      <c r="C4558" s="5">
        <v>41489</v>
      </c>
      <c r="D4558" s="5">
        <v>41549</v>
      </c>
      <c r="E4558" s="4" t="s">
        <v>1410</v>
      </c>
      <c r="F4558" s="4" t="s">
        <v>1411</v>
      </c>
    </row>
    <row r="4559" spans="1:6" x14ac:dyDescent="0.25">
      <c r="A4559" s="4" t="str">
        <f>CONCATENATE("3071-0000-7071","")</f>
        <v>3071-0000-7071</v>
      </c>
      <c r="B4559" s="4" t="s">
        <v>4707</v>
      </c>
      <c r="C4559" s="5">
        <v>41489</v>
      </c>
      <c r="D4559" s="5">
        <v>41549</v>
      </c>
      <c r="E4559" s="4" t="s">
        <v>1410</v>
      </c>
      <c r="F4559" s="4" t="s">
        <v>1410</v>
      </c>
    </row>
    <row r="4560" spans="1:6" x14ac:dyDescent="0.25">
      <c r="A4560" s="4" t="str">
        <f>CONCATENATE("3071-0000-2102","")</f>
        <v>3071-0000-2102</v>
      </c>
      <c r="B4560" s="4" t="s">
        <v>3489</v>
      </c>
      <c r="C4560" s="5">
        <v>41489</v>
      </c>
      <c r="D4560" s="5">
        <v>41549</v>
      </c>
      <c r="E4560" s="4" t="s">
        <v>2944</v>
      </c>
      <c r="F4560" s="4" t="s">
        <v>2945</v>
      </c>
    </row>
    <row r="4561" spans="1:6" x14ac:dyDescent="0.25">
      <c r="A4561" s="4" t="str">
        <f>CONCATENATE("3071-0000-3574","")</f>
        <v>3071-0000-3574</v>
      </c>
      <c r="B4561" s="4" t="s">
        <v>1477</v>
      </c>
      <c r="C4561" s="5">
        <v>41489</v>
      </c>
      <c r="D4561" s="5">
        <v>41549</v>
      </c>
      <c r="E4561" s="4" t="s">
        <v>1410</v>
      </c>
      <c r="F4561" s="4" t="s">
        <v>1411</v>
      </c>
    </row>
    <row r="4562" spans="1:6" x14ac:dyDescent="0.25">
      <c r="A4562" s="4" t="str">
        <f>CONCATENATE("3071-0000-0660","")</f>
        <v>3071-0000-0660</v>
      </c>
      <c r="B4562" s="4" t="s">
        <v>805</v>
      </c>
      <c r="C4562" s="5">
        <v>41489</v>
      </c>
      <c r="D4562" s="5">
        <v>41549</v>
      </c>
      <c r="E4562" s="4" t="s">
        <v>7</v>
      </c>
      <c r="F4562" s="4" t="s">
        <v>7</v>
      </c>
    </row>
    <row r="4563" spans="1:6" x14ac:dyDescent="0.25">
      <c r="A4563" s="4" t="str">
        <f>CONCATENATE("3071-0000-8601","")</f>
        <v>3071-0000-8601</v>
      </c>
      <c r="B4563" s="4" t="s">
        <v>5458</v>
      </c>
      <c r="C4563" s="5">
        <v>41489</v>
      </c>
      <c r="D4563" s="5">
        <v>41549</v>
      </c>
      <c r="E4563" s="4" t="s">
        <v>1410</v>
      </c>
      <c r="F4563" s="4" t="s">
        <v>4616</v>
      </c>
    </row>
    <row r="4564" spans="1:6" x14ac:dyDescent="0.25">
      <c r="A4564" s="4" t="str">
        <f>CONCATENATE("3071-0000-1222","")</f>
        <v>3071-0000-1222</v>
      </c>
      <c r="B4564" s="4" t="s">
        <v>2289</v>
      </c>
      <c r="C4564" s="5">
        <v>41489</v>
      </c>
      <c r="D4564" s="5">
        <v>41549</v>
      </c>
      <c r="E4564" s="4" t="s">
        <v>1381</v>
      </c>
      <c r="F4564" s="4" t="s">
        <v>2259</v>
      </c>
    </row>
    <row r="4565" spans="1:6" x14ac:dyDescent="0.25">
      <c r="A4565" s="4" t="str">
        <f>CONCATENATE("3071-0000-1950","")</f>
        <v>3071-0000-1950</v>
      </c>
      <c r="B4565" s="4" t="s">
        <v>3058</v>
      </c>
      <c r="C4565" s="5">
        <v>41489</v>
      </c>
      <c r="D4565" s="5">
        <v>41549</v>
      </c>
      <c r="E4565" s="4" t="s">
        <v>2944</v>
      </c>
      <c r="F4565" s="4" t="s">
        <v>2945</v>
      </c>
    </row>
    <row r="4566" spans="1:6" x14ac:dyDescent="0.25">
      <c r="A4566" s="4" t="str">
        <f>CONCATENATE("3071-0000-1167","")</f>
        <v>3071-0000-1167</v>
      </c>
      <c r="B4566" s="4" t="s">
        <v>2252</v>
      </c>
      <c r="C4566" s="5">
        <v>41489</v>
      </c>
      <c r="D4566" s="5">
        <v>41549</v>
      </c>
      <c r="E4566" s="4" t="s">
        <v>1381</v>
      </c>
      <c r="F4566" s="4" t="s">
        <v>2236</v>
      </c>
    </row>
    <row r="4567" spans="1:6" x14ac:dyDescent="0.25">
      <c r="A4567" s="4" t="str">
        <f>CONCATENATE("3071-0000-9459","")</f>
        <v>3071-0000-9459</v>
      </c>
      <c r="B4567" s="4" t="s">
        <v>8504</v>
      </c>
      <c r="C4567" s="5">
        <v>41489</v>
      </c>
      <c r="D4567" s="5">
        <v>41549</v>
      </c>
      <c r="E4567" s="4" t="s">
        <v>1410</v>
      </c>
      <c r="F4567" s="4" t="s">
        <v>4459</v>
      </c>
    </row>
    <row r="4568" spans="1:6" x14ac:dyDescent="0.25">
      <c r="A4568" s="4" t="str">
        <f>CONCATENATE("3071-0000-3696","")</f>
        <v>3071-0000-3696</v>
      </c>
      <c r="B4568" s="4" t="s">
        <v>1811</v>
      </c>
      <c r="C4568" s="5">
        <v>41489</v>
      </c>
      <c r="D4568" s="5">
        <v>41549</v>
      </c>
      <c r="E4568" s="4" t="s">
        <v>1410</v>
      </c>
      <c r="F4568" s="4" t="s">
        <v>1411</v>
      </c>
    </row>
    <row r="4569" spans="1:6" x14ac:dyDescent="0.25">
      <c r="A4569" s="4" t="str">
        <f>CONCATENATE("3071-0000-3064","")</f>
        <v>3071-0000-3064</v>
      </c>
      <c r="B4569" s="4" t="s">
        <v>883</v>
      </c>
      <c r="C4569" s="5">
        <v>41489</v>
      </c>
      <c r="D4569" s="5">
        <v>41549</v>
      </c>
      <c r="E4569" s="4" t="s">
        <v>7</v>
      </c>
      <c r="F4569" s="4" t="s">
        <v>808</v>
      </c>
    </row>
    <row r="4570" spans="1:6" x14ac:dyDescent="0.25">
      <c r="A4570" s="4" t="str">
        <f>CONCATENATE("3071-0000-1958","")</f>
        <v>3071-0000-1958</v>
      </c>
      <c r="B4570" s="4" t="s">
        <v>3069</v>
      </c>
      <c r="C4570" s="5">
        <v>41489</v>
      </c>
      <c r="D4570" s="5">
        <v>41549</v>
      </c>
      <c r="E4570" s="4" t="s">
        <v>2944</v>
      </c>
      <c r="F4570" s="4" t="s">
        <v>2945</v>
      </c>
    </row>
    <row r="4571" spans="1:6" x14ac:dyDescent="0.25">
      <c r="A4571" s="4" t="str">
        <f>CONCATENATE("3071-0000-7192","")</f>
        <v>3071-0000-7192</v>
      </c>
      <c r="B4571" s="4" t="s">
        <v>4991</v>
      </c>
      <c r="C4571" s="5">
        <v>41489</v>
      </c>
      <c r="D4571" s="5">
        <v>41549</v>
      </c>
      <c r="E4571" s="4" t="s">
        <v>1410</v>
      </c>
      <c r="F4571" s="4" t="s">
        <v>1410</v>
      </c>
    </row>
    <row r="4572" spans="1:6" x14ac:dyDescent="0.25">
      <c r="A4572" s="4" t="str">
        <f>CONCATENATE("3071-0000-3938","")</f>
        <v>3071-0000-3938</v>
      </c>
      <c r="B4572" s="4" t="s">
        <v>3934</v>
      </c>
      <c r="C4572" s="5">
        <v>41489</v>
      </c>
      <c r="D4572" s="5">
        <v>41549</v>
      </c>
      <c r="E4572" s="4" t="s">
        <v>2944</v>
      </c>
      <c r="F4572" s="4" t="s">
        <v>3513</v>
      </c>
    </row>
    <row r="4573" spans="1:6" x14ac:dyDescent="0.25">
      <c r="A4573" s="4" t="str">
        <f>CONCATENATE("3071-0000-5828","")</f>
        <v>3071-0000-5828</v>
      </c>
      <c r="B4573" s="4" t="s">
        <v>7627</v>
      </c>
      <c r="C4573" s="5">
        <v>41489</v>
      </c>
      <c r="D4573" s="5">
        <v>41549</v>
      </c>
      <c r="E4573" s="4" t="s">
        <v>5185</v>
      </c>
      <c r="F4573" s="4" t="s">
        <v>5185</v>
      </c>
    </row>
    <row r="4574" spans="1:6" x14ac:dyDescent="0.25">
      <c r="A4574" s="4" t="str">
        <f>CONCATENATE("3071-0000-9070","")</f>
        <v>3071-0000-9070</v>
      </c>
      <c r="B4574" s="4" t="s">
        <v>5956</v>
      </c>
      <c r="C4574" s="5">
        <v>41489</v>
      </c>
      <c r="D4574" s="5">
        <v>41549</v>
      </c>
      <c r="E4574" s="4" t="s">
        <v>5185</v>
      </c>
      <c r="F4574" s="4" t="s">
        <v>5945</v>
      </c>
    </row>
    <row r="4575" spans="1:6" x14ac:dyDescent="0.25">
      <c r="A4575" s="4" t="str">
        <f>CONCATENATE("3071-0000-0734","")</f>
        <v>3071-0000-0734</v>
      </c>
      <c r="B4575" s="4" t="s">
        <v>706</v>
      </c>
      <c r="C4575" s="5">
        <v>41489</v>
      </c>
      <c r="D4575" s="5">
        <v>41549</v>
      </c>
      <c r="E4575" s="4" t="s">
        <v>7</v>
      </c>
      <c r="F4575" s="4" t="s">
        <v>7</v>
      </c>
    </row>
    <row r="4576" spans="1:6" x14ac:dyDescent="0.25">
      <c r="A4576" s="4" t="str">
        <f>CONCATENATE("3071-0000-0199","")</f>
        <v>3071-0000-0199</v>
      </c>
      <c r="B4576" s="4" t="s">
        <v>434</v>
      </c>
      <c r="C4576" s="5">
        <v>41489</v>
      </c>
      <c r="D4576" s="5">
        <v>41549</v>
      </c>
      <c r="E4576" s="4" t="s">
        <v>7</v>
      </c>
      <c r="F4576" s="4" t="s">
        <v>7</v>
      </c>
    </row>
    <row r="4577" spans="1:6" x14ac:dyDescent="0.25">
      <c r="A4577" s="4" t="str">
        <f>CONCATENATE("3071-0000-7470","")</f>
        <v>3071-0000-7470</v>
      </c>
      <c r="B4577" s="4" t="s">
        <v>4817</v>
      </c>
      <c r="C4577" s="5">
        <v>41489</v>
      </c>
      <c r="D4577" s="5">
        <v>41549</v>
      </c>
      <c r="E4577" s="4" t="s">
        <v>1410</v>
      </c>
      <c r="F4577" s="4" t="s">
        <v>4655</v>
      </c>
    </row>
    <row r="4578" spans="1:6" x14ac:dyDescent="0.25">
      <c r="A4578" s="4" t="str">
        <f>CONCATENATE("3071-0000-7887","")</f>
        <v>3071-0000-7887</v>
      </c>
      <c r="B4578" s="4" t="s">
        <v>5545</v>
      </c>
      <c r="C4578" s="5">
        <v>41489</v>
      </c>
      <c r="D4578" s="5">
        <v>41549</v>
      </c>
      <c r="E4578" s="4" t="s">
        <v>5185</v>
      </c>
      <c r="F4578" s="4" t="s">
        <v>5185</v>
      </c>
    </row>
    <row r="4579" spans="1:6" x14ac:dyDescent="0.25">
      <c r="A4579" s="4" t="str">
        <f>CONCATENATE("3071-0000-7988","")</f>
        <v>3071-0000-7988</v>
      </c>
      <c r="B4579" s="4" t="s">
        <v>6191</v>
      </c>
      <c r="C4579" s="5">
        <v>41489</v>
      </c>
      <c r="D4579" s="5">
        <v>41549</v>
      </c>
      <c r="E4579" s="4" t="s">
        <v>5185</v>
      </c>
      <c r="F4579" s="4" t="s">
        <v>5185</v>
      </c>
    </row>
    <row r="4580" spans="1:6" x14ac:dyDescent="0.25">
      <c r="A4580" s="4" t="str">
        <f>CONCATENATE("3071-0000-2971","")</f>
        <v>3071-0000-2971</v>
      </c>
      <c r="B4580" s="4" t="s">
        <v>934</v>
      </c>
      <c r="C4580" s="5">
        <v>41489</v>
      </c>
      <c r="D4580" s="5">
        <v>41549</v>
      </c>
      <c r="E4580" s="4" t="s">
        <v>7</v>
      </c>
      <c r="F4580" s="4" t="s">
        <v>808</v>
      </c>
    </row>
    <row r="4581" spans="1:6" x14ac:dyDescent="0.25">
      <c r="A4581" s="4" t="str">
        <f>CONCATENATE("3071-0000-2777","")</f>
        <v>3071-0000-2777</v>
      </c>
      <c r="B4581" s="4" t="s">
        <v>931</v>
      </c>
      <c r="C4581" s="5">
        <v>41489</v>
      </c>
      <c r="D4581" s="5">
        <v>41549</v>
      </c>
      <c r="E4581" s="4" t="s">
        <v>7</v>
      </c>
      <c r="F4581" s="4" t="s">
        <v>808</v>
      </c>
    </row>
    <row r="4582" spans="1:6" x14ac:dyDescent="0.25">
      <c r="A4582" s="4" t="str">
        <f>CONCATENATE("3071-0000-2776","")</f>
        <v>3071-0000-2776</v>
      </c>
      <c r="B4582" s="4" t="s">
        <v>937</v>
      </c>
      <c r="C4582" s="5">
        <v>41489</v>
      </c>
      <c r="D4582" s="5">
        <v>41549</v>
      </c>
      <c r="E4582" s="4" t="s">
        <v>7</v>
      </c>
      <c r="F4582" s="4" t="s">
        <v>808</v>
      </c>
    </row>
    <row r="4583" spans="1:6" x14ac:dyDescent="0.25">
      <c r="A4583" s="4" t="str">
        <f>CONCATENATE("3071-0000-3238","")</f>
        <v>3071-0000-3238</v>
      </c>
      <c r="B4583" s="4" t="s">
        <v>1158</v>
      </c>
      <c r="C4583" s="5">
        <v>41489</v>
      </c>
      <c r="D4583" s="5">
        <v>41549</v>
      </c>
      <c r="E4583" s="4" t="s">
        <v>7</v>
      </c>
      <c r="F4583" s="4" t="s">
        <v>808</v>
      </c>
    </row>
    <row r="4584" spans="1:6" x14ac:dyDescent="0.25">
      <c r="A4584" s="4" t="str">
        <f>CONCATENATE("3071-0000-3003","")</f>
        <v>3071-0000-3003</v>
      </c>
      <c r="B4584" s="4" t="s">
        <v>940</v>
      </c>
      <c r="C4584" s="5">
        <v>41489</v>
      </c>
      <c r="D4584" s="5">
        <v>41549</v>
      </c>
      <c r="E4584" s="4" t="s">
        <v>7</v>
      </c>
      <c r="F4584" s="4" t="s">
        <v>808</v>
      </c>
    </row>
    <row r="4585" spans="1:6" x14ac:dyDescent="0.25">
      <c r="A4585" s="4" t="str">
        <f>CONCATENATE("3071-0000-3282","")</f>
        <v>3071-0000-3282</v>
      </c>
      <c r="B4585" s="4" t="s">
        <v>936</v>
      </c>
      <c r="C4585" s="5">
        <v>41489</v>
      </c>
      <c r="D4585" s="5">
        <v>41549</v>
      </c>
      <c r="E4585" s="4" t="s">
        <v>7</v>
      </c>
      <c r="F4585" s="4" t="s">
        <v>808</v>
      </c>
    </row>
    <row r="4586" spans="1:6" x14ac:dyDescent="0.25">
      <c r="A4586" s="4" t="str">
        <f>CONCATENATE("3071-0000-5499","")</f>
        <v>3071-0000-5499</v>
      </c>
      <c r="B4586" s="4" t="s">
        <v>6621</v>
      </c>
      <c r="C4586" s="5">
        <v>41489</v>
      </c>
      <c r="D4586" s="5">
        <v>41549</v>
      </c>
      <c r="E4586" s="4" t="s">
        <v>1410</v>
      </c>
      <c r="F4586" s="4" t="s">
        <v>4616</v>
      </c>
    </row>
    <row r="4587" spans="1:6" x14ac:dyDescent="0.25">
      <c r="A4587" s="4" t="str">
        <f>CONCATENATE("3071-0000-1345","")</f>
        <v>3071-0000-1345</v>
      </c>
      <c r="B4587" s="4" t="s">
        <v>2481</v>
      </c>
      <c r="C4587" s="5">
        <v>41489</v>
      </c>
      <c r="D4587" s="5">
        <v>41549</v>
      </c>
      <c r="E4587" s="4" t="s">
        <v>1381</v>
      </c>
      <c r="F4587" s="4" t="s">
        <v>2303</v>
      </c>
    </row>
    <row r="4588" spans="1:6" x14ac:dyDescent="0.25">
      <c r="A4588" s="4" t="str">
        <f>CONCATENATE("3071-0000-5984","")</f>
        <v>3071-0000-5984</v>
      </c>
      <c r="B4588" s="4" t="s">
        <v>7240</v>
      </c>
      <c r="C4588" s="5">
        <v>41489</v>
      </c>
      <c r="D4588" s="5">
        <v>41549</v>
      </c>
      <c r="E4588" s="4" t="s">
        <v>5185</v>
      </c>
      <c r="F4588" s="4" t="s">
        <v>5185</v>
      </c>
    </row>
    <row r="4589" spans="1:6" x14ac:dyDescent="0.25">
      <c r="A4589" s="4" t="str">
        <f>CONCATENATE("3071-0000-6318","")</f>
        <v>3071-0000-6318</v>
      </c>
      <c r="B4589" s="4" t="s">
        <v>7237</v>
      </c>
      <c r="C4589" s="5">
        <v>41489</v>
      </c>
      <c r="D4589" s="5">
        <v>41549</v>
      </c>
      <c r="E4589" s="4" t="s">
        <v>7069</v>
      </c>
      <c r="F4589" s="4" t="s">
        <v>7183</v>
      </c>
    </row>
    <row r="4590" spans="1:6" x14ac:dyDescent="0.25">
      <c r="A4590" s="4" t="str">
        <f>CONCATENATE("3071-0000-5878","")</f>
        <v>3071-0000-5878</v>
      </c>
      <c r="B4590" s="4" t="s">
        <v>7210</v>
      </c>
      <c r="C4590" s="5">
        <v>41489</v>
      </c>
      <c r="D4590" s="5">
        <v>41549</v>
      </c>
      <c r="E4590" s="4" t="s">
        <v>5185</v>
      </c>
      <c r="F4590" s="4" t="s">
        <v>5185</v>
      </c>
    </row>
    <row r="4591" spans="1:6" x14ac:dyDescent="0.25">
      <c r="A4591" s="4" t="str">
        <f>CONCATENATE("3071-0000-7796","")</f>
        <v>3071-0000-7796</v>
      </c>
      <c r="B4591" s="4" t="s">
        <v>5202</v>
      </c>
      <c r="C4591" s="5">
        <v>41489</v>
      </c>
      <c r="D4591" s="5">
        <v>41549</v>
      </c>
      <c r="E4591" s="4" t="s">
        <v>5185</v>
      </c>
      <c r="F4591" s="4" t="s">
        <v>5185</v>
      </c>
    </row>
    <row r="4592" spans="1:6" x14ac:dyDescent="0.25">
      <c r="A4592" s="4" t="str">
        <f>CONCATENATE("3071-0000-2525","")</f>
        <v>3071-0000-2525</v>
      </c>
      <c r="B4592" s="4" t="s">
        <v>3785</v>
      </c>
      <c r="C4592" s="5">
        <v>41489</v>
      </c>
      <c r="D4592" s="5">
        <v>41549</v>
      </c>
      <c r="E4592" s="4" t="s">
        <v>2944</v>
      </c>
      <c r="F4592" s="4" t="s">
        <v>3115</v>
      </c>
    </row>
    <row r="4593" spans="1:6" x14ac:dyDescent="0.25">
      <c r="A4593" s="4" t="str">
        <f>CONCATENATE("3071-0000-6001","")</f>
        <v>3071-0000-6001</v>
      </c>
      <c r="B4593" s="4" t="s">
        <v>7113</v>
      </c>
      <c r="C4593" s="5">
        <v>41489</v>
      </c>
      <c r="D4593" s="5">
        <v>41549</v>
      </c>
      <c r="E4593" s="4" t="s">
        <v>5185</v>
      </c>
      <c r="F4593" s="4" t="s">
        <v>5185</v>
      </c>
    </row>
    <row r="4594" spans="1:6" x14ac:dyDescent="0.25">
      <c r="A4594" s="4" t="str">
        <f>CONCATENATE("3071-0000-6714","")</f>
        <v>3071-0000-6714</v>
      </c>
      <c r="B4594" s="4" t="s">
        <v>8176</v>
      </c>
      <c r="C4594" s="5">
        <v>41489</v>
      </c>
      <c r="D4594" s="5">
        <v>41549</v>
      </c>
      <c r="E4594" s="4" t="s">
        <v>5185</v>
      </c>
      <c r="F4594" s="4" t="s">
        <v>5185</v>
      </c>
    </row>
    <row r="4595" spans="1:6" x14ac:dyDescent="0.25">
      <c r="A4595" s="4" t="str">
        <f>CONCATENATE("3071-0000-1370","")</f>
        <v>3071-0000-1370</v>
      </c>
      <c r="B4595" s="4" t="s">
        <v>2530</v>
      </c>
      <c r="C4595" s="5">
        <v>41489</v>
      </c>
      <c r="D4595" s="5">
        <v>41549</v>
      </c>
      <c r="E4595" s="4" t="s">
        <v>1381</v>
      </c>
      <c r="F4595" s="4" t="s">
        <v>2303</v>
      </c>
    </row>
    <row r="4596" spans="1:6" x14ac:dyDescent="0.25">
      <c r="A4596" s="4" t="str">
        <f>CONCATENATE("3071-0000-3915","")</f>
        <v>3071-0000-3915</v>
      </c>
      <c r="B4596" s="4" t="s">
        <v>4189</v>
      </c>
      <c r="C4596" s="5">
        <v>41489</v>
      </c>
      <c r="D4596" s="5">
        <v>41549</v>
      </c>
      <c r="E4596" s="4" t="s">
        <v>2944</v>
      </c>
      <c r="F4596" s="4" t="s">
        <v>3513</v>
      </c>
    </row>
    <row r="4597" spans="1:6" x14ac:dyDescent="0.25">
      <c r="A4597" s="4" t="str">
        <f>CONCATENATE("3071-0000-6884","")</f>
        <v>3071-0000-6884</v>
      </c>
      <c r="B4597" s="4" t="s">
        <v>4620</v>
      </c>
      <c r="C4597" s="5">
        <v>41489</v>
      </c>
      <c r="D4597" s="5">
        <v>41549</v>
      </c>
      <c r="E4597" s="4" t="s">
        <v>1410</v>
      </c>
      <c r="F4597" s="4" t="s">
        <v>1410</v>
      </c>
    </row>
    <row r="4598" spans="1:6" x14ac:dyDescent="0.25">
      <c r="A4598" s="4" t="str">
        <f>CONCATENATE("3071-0000-6418","")</f>
        <v>3071-0000-6418</v>
      </c>
      <c r="B4598" s="4" t="s">
        <v>8123</v>
      </c>
      <c r="C4598" s="5">
        <v>41489</v>
      </c>
      <c r="D4598" s="5">
        <v>41549</v>
      </c>
      <c r="E4598" s="4" t="s">
        <v>5185</v>
      </c>
      <c r="F4598" s="4" t="s">
        <v>5185</v>
      </c>
    </row>
    <row r="4599" spans="1:6" x14ac:dyDescent="0.25">
      <c r="A4599" s="4" t="str">
        <f>CONCATENATE("3071-0000-6727","")</f>
        <v>3071-0000-6727</v>
      </c>
      <c r="B4599" s="4" t="s">
        <v>8191</v>
      </c>
      <c r="C4599" s="5">
        <v>41489</v>
      </c>
      <c r="D4599" s="5">
        <v>41549</v>
      </c>
      <c r="E4599" s="4" t="s">
        <v>5185</v>
      </c>
      <c r="F4599" s="4" t="s">
        <v>5185</v>
      </c>
    </row>
    <row r="4600" spans="1:6" x14ac:dyDescent="0.25">
      <c r="A4600" s="4" t="str">
        <f>CONCATENATE("3071-0000-1104","")</f>
        <v>3071-0000-1104</v>
      </c>
      <c r="B4600" s="4" t="s">
        <v>2160</v>
      </c>
      <c r="C4600" s="5">
        <v>41489</v>
      </c>
      <c r="D4600" s="5">
        <v>41549</v>
      </c>
      <c r="E4600" s="4" t="s">
        <v>1857</v>
      </c>
      <c r="F4600" s="4" t="s">
        <v>2144</v>
      </c>
    </row>
    <row r="4601" spans="1:6" x14ac:dyDescent="0.25">
      <c r="A4601" s="4" t="str">
        <f>CONCATENATE("3071-0000-0554","")</f>
        <v>3071-0000-0554</v>
      </c>
      <c r="B4601" s="4" t="s">
        <v>649</v>
      </c>
      <c r="C4601" s="5">
        <v>41489</v>
      </c>
      <c r="D4601" s="5">
        <v>41549</v>
      </c>
      <c r="E4601" s="4" t="s">
        <v>7</v>
      </c>
      <c r="F4601" s="4" t="s">
        <v>7</v>
      </c>
    </row>
    <row r="4602" spans="1:6" x14ac:dyDescent="0.25">
      <c r="A4602" s="4" t="str">
        <f>CONCATENATE("3071-0000-8354","")</f>
        <v>3071-0000-8354</v>
      </c>
      <c r="B4602" s="4" t="s">
        <v>5431</v>
      </c>
      <c r="C4602" s="5">
        <v>41489</v>
      </c>
      <c r="D4602" s="5">
        <v>41549</v>
      </c>
      <c r="E4602" s="4" t="s">
        <v>5185</v>
      </c>
      <c r="F4602" s="4" t="s">
        <v>5185</v>
      </c>
    </row>
    <row r="4603" spans="1:6" x14ac:dyDescent="0.25">
      <c r="A4603" s="4" t="str">
        <f>CONCATENATE("3071-0000-1970","")</f>
        <v>3071-0000-1970</v>
      </c>
      <c r="B4603" s="4" t="s">
        <v>3099</v>
      </c>
      <c r="C4603" s="5">
        <v>41489</v>
      </c>
      <c r="D4603" s="5">
        <v>41549</v>
      </c>
      <c r="E4603" s="4" t="s">
        <v>2944</v>
      </c>
      <c r="F4603" s="4" t="s">
        <v>2945</v>
      </c>
    </row>
    <row r="4604" spans="1:6" x14ac:dyDescent="0.25">
      <c r="A4604" s="4" t="str">
        <f>CONCATENATE("3071-0000-7399","")</f>
        <v>3071-0000-7399</v>
      </c>
      <c r="B4604" s="4" t="s">
        <v>4421</v>
      </c>
      <c r="C4604" s="5">
        <v>41489</v>
      </c>
      <c r="D4604" s="5">
        <v>41549</v>
      </c>
      <c r="E4604" s="4" t="s">
        <v>1410</v>
      </c>
      <c r="F4604" s="4" t="s">
        <v>1410</v>
      </c>
    </row>
    <row r="4605" spans="1:6" x14ac:dyDescent="0.25">
      <c r="A4605" s="4" t="str">
        <f>CONCATENATE("3071-0000-6869","")</f>
        <v>3071-0000-6869</v>
      </c>
      <c r="B4605" s="4" t="s">
        <v>4467</v>
      </c>
      <c r="C4605" s="5">
        <v>41489</v>
      </c>
      <c r="D4605" s="5">
        <v>41549</v>
      </c>
      <c r="E4605" s="4" t="s">
        <v>1410</v>
      </c>
      <c r="F4605" s="4" t="s">
        <v>1410</v>
      </c>
    </row>
    <row r="4606" spans="1:6" x14ac:dyDescent="0.25">
      <c r="A4606" s="4" t="str">
        <f>CONCATENATE("3071-0000-6222","")</f>
        <v>3071-0000-6222</v>
      </c>
      <c r="B4606" s="4" t="s">
        <v>7048</v>
      </c>
      <c r="C4606" s="5">
        <v>41489</v>
      </c>
      <c r="D4606" s="5">
        <v>41549</v>
      </c>
      <c r="E4606" s="4" t="s">
        <v>1410</v>
      </c>
      <c r="F4606" s="4" t="s">
        <v>6798</v>
      </c>
    </row>
    <row r="4607" spans="1:6" x14ac:dyDescent="0.25">
      <c r="A4607" s="4" t="str">
        <f>CONCATENATE("3071-0000-1682","")</f>
        <v>3071-0000-1682</v>
      </c>
      <c r="B4607" s="4" t="s">
        <v>2599</v>
      </c>
      <c r="C4607" s="5">
        <v>41489</v>
      </c>
      <c r="D4607" s="5">
        <v>41549</v>
      </c>
      <c r="E4607" s="4" t="s">
        <v>1381</v>
      </c>
      <c r="F4607" s="4" t="s">
        <v>2303</v>
      </c>
    </row>
    <row r="4608" spans="1:6" x14ac:dyDescent="0.25">
      <c r="A4608" s="4" t="str">
        <f>CONCATENATE("3071-0000-1886","")</f>
        <v>3071-0000-1886</v>
      </c>
      <c r="B4608" s="4" t="s">
        <v>2958</v>
      </c>
      <c r="C4608" s="5">
        <v>41489</v>
      </c>
      <c r="D4608" s="5">
        <v>41549</v>
      </c>
      <c r="E4608" s="4" t="s">
        <v>2944</v>
      </c>
      <c r="F4608" s="4" t="s">
        <v>2945</v>
      </c>
    </row>
    <row r="4609" spans="1:6" x14ac:dyDescent="0.25">
      <c r="A4609" s="4" t="str">
        <f>CONCATENATE("3071-0000-0506","")</f>
        <v>3071-0000-0506</v>
      </c>
      <c r="B4609" s="4" t="s">
        <v>751</v>
      </c>
      <c r="C4609" s="5">
        <v>41489</v>
      </c>
      <c r="D4609" s="5">
        <v>41549</v>
      </c>
      <c r="E4609" s="4" t="s">
        <v>7</v>
      </c>
      <c r="F4609" s="4" t="s">
        <v>273</v>
      </c>
    </row>
    <row r="4610" spans="1:6" x14ac:dyDescent="0.25">
      <c r="A4610" s="4" t="str">
        <f>CONCATENATE("3071-0000-8079","")</f>
        <v>3071-0000-8079</v>
      </c>
      <c r="B4610" s="4" t="s">
        <v>5920</v>
      </c>
      <c r="C4610" s="5">
        <v>41489</v>
      </c>
      <c r="D4610" s="5">
        <v>41549</v>
      </c>
      <c r="E4610" s="4" t="s">
        <v>5185</v>
      </c>
      <c r="F4610" s="4" t="s">
        <v>5185</v>
      </c>
    </row>
    <row r="4611" spans="1:6" x14ac:dyDescent="0.25">
      <c r="A4611" s="4" t="str">
        <f>CONCATENATE("3071-0000-8080","")</f>
        <v>3071-0000-8080</v>
      </c>
      <c r="B4611" s="4" t="s">
        <v>5919</v>
      </c>
      <c r="C4611" s="5">
        <v>41489</v>
      </c>
      <c r="D4611" s="5">
        <v>41549</v>
      </c>
      <c r="E4611" s="4" t="s">
        <v>5185</v>
      </c>
      <c r="F4611" s="4" t="s">
        <v>5185</v>
      </c>
    </row>
    <row r="4612" spans="1:6" x14ac:dyDescent="0.25">
      <c r="A4612" s="4" t="str">
        <f>CONCATENATE("3071-0000-8221","")</f>
        <v>3071-0000-8221</v>
      </c>
      <c r="B4612" s="4" t="s">
        <v>5710</v>
      </c>
      <c r="C4612" s="5">
        <v>41489</v>
      </c>
      <c r="D4612" s="5">
        <v>41549</v>
      </c>
      <c r="E4612" s="4" t="s">
        <v>5185</v>
      </c>
      <c r="F4612" s="4" t="s">
        <v>5185</v>
      </c>
    </row>
    <row r="4613" spans="1:6" x14ac:dyDescent="0.25">
      <c r="A4613" s="4" t="str">
        <f>CONCATENATE("3071-0000-5798","")</f>
        <v>3071-0000-5798</v>
      </c>
      <c r="B4613" s="4" t="s">
        <v>7474</v>
      </c>
      <c r="C4613" s="5">
        <v>41489</v>
      </c>
      <c r="D4613" s="5">
        <v>41549</v>
      </c>
      <c r="E4613" s="4" t="s">
        <v>5185</v>
      </c>
      <c r="F4613" s="4" t="s">
        <v>5185</v>
      </c>
    </row>
    <row r="4614" spans="1:6" x14ac:dyDescent="0.25">
      <c r="A4614" s="4" t="str">
        <f>CONCATENATE("3071-0000-6247","")</f>
        <v>3071-0000-6247</v>
      </c>
      <c r="B4614" s="4" t="s">
        <v>7512</v>
      </c>
      <c r="C4614" s="5">
        <v>41489</v>
      </c>
      <c r="D4614" s="5">
        <v>41549</v>
      </c>
      <c r="E4614" s="4" t="s">
        <v>1410</v>
      </c>
      <c r="F4614" s="4" t="s">
        <v>1410</v>
      </c>
    </row>
    <row r="4615" spans="1:6" x14ac:dyDescent="0.25">
      <c r="A4615" s="4" t="str">
        <f>CONCATENATE("3071-0000-5940","")</f>
        <v>3071-0000-5940</v>
      </c>
      <c r="B4615" s="4" t="s">
        <v>7303</v>
      </c>
      <c r="C4615" s="5">
        <v>41489</v>
      </c>
      <c r="D4615" s="5">
        <v>41549</v>
      </c>
      <c r="E4615" s="4" t="s">
        <v>5185</v>
      </c>
      <c r="F4615" s="4" t="s">
        <v>5185</v>
      </c>
    </row>
    <row r="4616" spans="1:6" x14ac:dyDescent="0.25">
      <c r="A4616" s="4" t="str">
        <f>CONCATENATE("3071-0000-6461","")</f>
        <v>3071-0000-6461</v>
      </c>
      <c r="B4616" s="4" t="s">
        <v>8150</v>
      </c>
      <c r="C4616" s="5">
        <v>41489</v>
      </c>
      <c r="D4616" s="5">
        <v>41549</v>
      </c>
      <c r="E4616" s="4" t="s">
        <v>5185</v>
      </c>
      <c r="F4616" s="4" t="s">
        <v>5185</v>
      </c>
    </row>
    <row r="4617" spans="1:6" x14ac:dyDescent="0.25">
      <c r="A4617" s="4" t="str">
        <f>CONCATENATE("3071-0000-2900","")</f>
        <v>3071-0000-2900</v>
      </c>
      <c r="B4617" s="4" t="s">
        <v>932</v>
      </c>
      <c r="C4617" s="5">
        <v>41489</v>
      </c>
      <c r="D4617" s="5">
        <v>41549</v>
      </c>
      <c r="E4617" s="4" t="s">
        <v>7</v>
      </c>
      <c r="F4617" s="4" t="s">
        <v>808</v>
      </c>
    </row>
    <row r="4618" spans="1:6" x14ac:dyDescent="0.25">
      <c r="A4618" s="4" t="str">
        <f>CONCATENATE("3071-0000-5444","")</f>
        <v>3071-0000-5444</v>
      </c>
      <c r="B4618" s="4" t="s">
        <v>6892</v>
      </c>
      <c r="C4618" s="5">
        <v>41489</v>
      </c>
      <c r="D4618" s="5">
        <v>41549</v>
      </c>
      <c r="E4618" s="4" t="s">
        <v>5185</v>
      </c>
      <c r="F4618" s="4" t="s">
        <v>5185</v>
      </c>
    </row>
    <row r="4619" spans="1:6" x14ac:dyDescent="0.25">
      <c r="A4619" s="4" t="str">
        <f>CONCATENATE("3071-0000-0095","")</f>
        <v>3071-0000-0095</v>
      </c>
      <c r="B4619" s="4" t="s">
        <v>186</v>
      </c>
      <c r="C4619" s="5">
        <v>41489</v>
      </c>
      <c r="D4619" s="5">
        <v>41549</v>
      </c>
      <c r="E4619" s="4" t="s">
        <v>7</v>
      </c>
      <c r="F4619" s="4" t="s">
        <v>7</v>
      </c>
    </row>
    <row r="4620" spans="1:6" x14ac:dyDescent="0.25">
      <c r="A4620" s="4" t="str">
        <f>CONCATENATE("3071-0000-2067","")</f>
        <v>3071-0000-2067</v>
      </c>
      <c r="B4620" s="4" t="s">
        <v>3441</v>
      </c>
      <c r="C4620" s="5">
        <v>41489</v>
      </c>
      <c r="D4620" s="5">
        <v>41549</v>
      </c>
      <c r="E4620" s="4" t="s">
        <v>2944</v>
      </c>
      <c r="F4620" s="4" t="s">
        <v>2945</v>
      </c>
    </row>
    <row r="4621" spans="1:6" x14ac:dyDescent="0.25">
      <c r="A4621" s="4" t="str">
        <f>CONCATENATE("3071-0000-0662","")</f>
        <v>3071-0000-0662</v>
      </c>
      <c r="B4621" s="4" t="s">
        <v>804</v>
      </c>
      <c r="C4621" s="5">
        <v>41489</v>
      </c>
      <c r="D4621" s="5">
        <v>41549</v>
      </c>
      <c r="E4621" s="4" t="s">
        <v>7</v>
      </c>
      <c r="F4621" s="4" t="s">
        <v>7</v>
      </c>
    </row>
    <row r="4622" spans="1:6" x14ac:dyDescent="0.25">
      <c r="A4622" s="4" t="str">
        <f>CONCATENATE("3071-0000-7797","")</f>
        <v>3071-0000-7797</v>
      </c>
      <c r="B4622" s="4" t="s">
        <v>5206</v>
      </c>
      <c r="C4622" s="5">
        <v>41489</v>
      </c>
      <c r="D4622" s="5">
        <v>41549</v>
      </c>
      <c r="E4622" s="4" t="s">
        <v>5185</v>
      </c>
      <c r="F4622" s="4" t="s">
        <v>5185</v>
      </c>
    </row>
    <row r="4623" spans="1:6" x14ac:dyDescent="0.25">
      <c r="A4623" s="4" t="str">
        <f>CONCATENATE("3071-0000-6291","")</f>
        <v>3071-0000-6291</v>
      </c>
      <c r="B4623" s="4" t="s">
        <v>7103</v>
      </c>
      <c r="C4623" s="5">
        <v>41489</v>
      </c>
      <c r="D4623" s="5">
        <v>41549</v>
      </c>
      <c r="E4623" s="4" t="s">
        <v>7069</v>
      </c>
      <c r="F4623" s="4" t="s">
        <v>7070</v>
      </c>
    </row>
    <row r="4624" spans="1:6" x14ac:dyDescent="0.25">
      <c r="A4624" s="4" t="str">
        <f>CONCATENATE("3071-0000-5588","")</f>
        <v>3071-0000-5588</v>
      </c>
      <c r="B4624" s="4" t="s">
        <v>7059</v>
      </c>
      <c r="C4624" s="5">
        <v>41489</v>
      </c>
      <c r="D4624" s="5">
        <v>41549</v>
      </c>
      <c r="E4624" s="4" t="s">
        <v>5185</v>
      </c>
      <c r="F4624" s="4" t="s">
        <v>5185</v>
      </c>
    </row>
    <row r="4625" spans="1:6" x14ac:dyDescent="0.25">
      <c r="A4625" s="4" t="str">
        <f>CONCATENATE("3071-0000-7907","")</f>
        <v>3071-0000-7907</v>
      </c>
      <c r="B4625" s="4" t="s">
        <v>5597</v>
      </c>
      <c r="C4625" s="5">
        <v>41489</v>
      </c>
      <c r="D4625" s="5">
        <v>41549</v>
      </c>
      <c r="E4625" s="4" t="s">
        <v>5185</v>
      </c>
      <c r="F4625" s="4" t="s">
        <v>5185</v>
      </c>
    </row>
    <row r="4626" spans="1:6" x14ac:dyDescent="0.25">
      <c r="A4626" s="4" t="str">
        <f>CONCATENATE("3071-0000-1934","")</f>
        <v>3071-0000-1934</v>
      </c>
      <c r="B4626" s="4" t="s">
        <v>3039</v>
      </c>
      <c r="C4626" s="5">
        <v>41489</v>
      </c>
      <c r="D4626" s="5">
        <v>41549</v>
      </c>
      <c r="E4626" s="4" t="s">
        <v>2944</v>
      </c>
      <c r="F4626" s="4" t="s">
        <v>2945</v>
      </c>
    </row>
    <row r="4627" spans="1:6" x14ac:dyDescent="0.25">
      <c r="A4627" s="4" t="str">
        <f>CONCATENATE("3071-0000-1933","")</f>
        <v>3071-0000-1933</v>
      </c>
      <c r="B4627" s="4" t="s">
        <v>3038</v>
      </c>
      <c r="C4627" s="5">
        <v>41489</v>
      </c>
      <c r="D4627" s="5">
        <v>41549</v>
      </c>
      <c r="E4627" s="4" t="s">
        <v>2944</v>
      </c>
      <c r="F4627" s="4" t="s">
        <v>2945</v>
      </c>
    </row>
    <row r="4628" spans="1:6" x14ac:dyDescent="0.25">
      <c r="A4628" s="4" t="str">
        <f>CONCATENATE("3071-0000-8020","")</f>
        <v>3071-0000-8020</v>
      </c>
      <c r="B4628" s="4" t="s">
        <v>5701</v>
      </c>
      <c r="C4628" s="5">
        <v>41489</v>
      </c>
      <c r="D4628" s="5">
        <v>41549</v>
      </c>
      <c r="E4628" s="4" t="s">
        <v>5185</v>
      </c>
      <c r="F4628" s="4" t="s">
        <v>5185</v>
      </c>
    </row>
    <row r="4629" spans="1:6" x14ac:dyDescent="0.25">
      <c r="A4629" s="4" t="str">
        <f>CONCATENATE("3071-0000-7916","")</f>
        <v>3071-0000-7916</v>
      </c>
      <c r="B4629" s="4" t="s">
        <v>5611</v>
      </c>
      <c r="C4629" s="5">
        <v>41489</v>
      </c>
      <c r="D4629" s="5">
        <v>41549</v>
      </c>
      <c r="E4629" s="4" t="s">
        <v>5185</v>
      </c>
      <c r="F4629" s="4" t="s">
        <v>5185</v>
      </c>
    </row>
    <row r="4630" spans="1:6" x14ac:dyDescent="0.25">
      <c r="A4630" s="4" t="str">
        <f>CONCATENATE("3071-0000-8001","")</f>
        <v>3071-0000-8001</v>
      </c>
      <c r="B4630" s="4" t="s">
        <v>5740</v>
      </c>
      <c r="C4630" s="5">
        <v>41489</v>
      </c>
      <c r="D4630" s="5">
        <v>41549</v>
      </c>
      <c r="E4630" s="4" t="s">
        <v>5185</v>
      </c>
      <c r="F4630" s="4" t="s">
        <v>5250</v>
      </c>
    </row>
    <row r="4631" spans="1:6" x14ac:dyDescent="0.25">
      <c r="A4631" s="4" t="str">
        <f>CONCATENATE("3071-0000-2480","")</f>
        <v>3071-0000-2480</v>
      </c>
      <c r="B4631" s="4" t="s">
        <v>3605</v>
      </c>
      <c r="C4631" s="5">
        <v>41489</v>
      </c>
      <c r="D4631" s="5">
        <v>41549</v>
      </c>
      <c r="E4631" s="4" t="s">
        <v>2944</v>
      </c>
      <c r="F4631" s="4" t="s">
        <v>3593</v>
      </c>
    </row>
    <row r="4632" spans="1:6" x14ac:dyDescent="0.25">
      <c r="A4632" s="4" t="str">
        <f>CONCATENATE("3071-0000-2380","")</f>
        <v>3071-0000-2380</v>
      </c>
      <c r="B4632" s="4" t="s">
        <v>3648</v>
      </c>
      <c r="C4632" s="5">
        <v>41489</v>
      </c>
      <c r="D4632" s="5">
        <v>41549</v>
      </c>
      <c r="E4632" s="4" t="s">
        <v>2944</v>
      </c>
      <c r="F4632" s="4" t="s">
        <v>2945</v>
      </c>
    </row>
    <row r="4633" spans="1:6" x14ac:dyDescent="0.25">
      <c r="A4633" s="4" t="str">
        <f>CONCATENATE("3071-0000-2182","")</f>
        <v>3071-0000-2182</v>
      </c>
      <c r="B4633" s="4" t="s">
        <v>3668</v>
      </c>
      <c r="C4633" s="5">
        <v>41489</v>
      </c>
      <c r="D4633" s="5">
        <v>41549</v>
      </c>
      <c r="E4633" s="4" t="s">
        <v>2944</v>
      </c>
      <c r="F4633" s="4" t="s">
        <v>2945</v>
      </c>
    </row>
    <row r="4634" spans="1:6" x14ac:dyDescent="0.25">
      <c r="A4634" s="4" t="str">
        <f>CONCATENATE("3071-0000-0452","")</f>
        <v>3071-0000-0452</v>
      </c>
      <c r="B4634" s="4" t="s">
        <v>390</v>
      </c>
      <c r="C4634" s="5">
        <v>41489</v>
      </c>
      <c r="D4634" s="5">
        <v>41549</v>
      </c>
      <c r="E4634" s="4" t="s">
        <v>7</v>
      </c>
      <c r="F4634" s="4" t="s">
        <v>7</v>
      </c>
    </row>
    <row r="4635" spans="1:6" x14ac:dyDescent="0.25">
      <c r="A4635" s="4" t="str">
        <f>CONCATENATE("3071-0000-2997","")</f>
        <v>3071-0000-2997</v>
      </c>
      <c r="B4635" s="4" t="s">
        <v>1218</v>
      </c>
      <c r="C4635" s="5">
        <v>41489</v>
      </c>
      <c r="D4635" s="5">
        <v>41549</v>
      </c>
      <c r="E4635" s="4" t="s">
        <v>7</v>
      </c>
      <c r="F4635" s="4" t="s">
        <v>808</v>
      </c>
    </row>
    <row r="4636" spans="1:6" x14ac:dyDescent="0.25">
      <c r="A4636" s="4" t="str">
        <f>CONCATENATE("3071-0000-5283","")</f>
        <v>3071-0000-5283</v>
      </c>
      <c r="B4636" s="4" t="s">
        <v>6758</v>
      </c>
      <c r="C4636" s="5">
        <v>41489</v>
      </c>
      <c r="D4636" s="5">
        <v>41549</v>
      </c>
      <c r="E4636" s="4" t="s">
        <v>5185</v>
      </c>
      <c r="F4636" s="4" t="s">
        <v>5185</v>
      </c>
    </row>
    <row r="4637" spans="1:6" x14ac:dyDescent="0.25">
      <c r="A4637" s="4" t="str">
        <f>CONCATENATE("3071-0000-0757","")</f>
        <v>3071-0000-0757</v>
      </c>
      <c r="B4637" s="4" t="s">
        <v>275</v>
      </c>
      <c r="C4637" s="5">
        <v>41489</v>
      </c>
      <c r="D4637" s="5">
        <v>41549</v>
      </c>
      <c r="E4637" s="4" t="s">
        <v>7</v>
      </c>
      <c r="F4637" s="4" t="s">
        <v>273</v>
      </c>
    </row>
    <row r="4638" spans="1:6" x14ac:dyDescent="0.25">
      <c r="A4638" s="4" t="str">
        <f>CONCATENATE("3071-0000-3136","")</f>
        <v>3071-0000-3136</v>
      </c>
      <c r="B4638" s="4" t="s">
        <v>1214</v>
      </c>
      <c r="C4638" s="5">
        <v>41489</v>
      </c>
      <c r="D4638" s="5">
        <v>41549</v>
      </c>
      <c r="E4638" s="4" t="s">
        <v>7</v>
      </c>
      <c r="F4638" s="4" t="s">
        <v>808</v>
      </c>
    </row>
    <row r="4639" spans="1:6" x14ac:dyDescent="0.25">
      <c r="A4639" s="4" t="str">
        <f>CONCATENATE("3071-0000-0133","")</f>
        <v>3071-0000-0133</v>
      </c>
      <c r="B4639" s="4" t="s">
        <v>289</v>
      </c>
      <c r="C4639" s="5">
        <v>41489</v>
      </c>
      <c r="D4639" s="5">
        <v>41549</v>
      </c>
      <c r="E4639" s="4" t="s">
        <v>7</v>
      </c>
      <c r="F4639" s="4" t="s">
        <v>7</v>
      </c>
    </row>
    <row r="4640" spans="1:6" x14ac:dyDescent="0.25">
      <c r="A4640" s="4" t="str">
        <f>CONCATENATE("3071-0000-3172","")</f>
        <v>3071-0000-3172</v>
      </c>
      <c r="B4640" s="4" t="s">
        <v>1282</v>
      </c>
      <c r="C4640" s="5">
        <v>41489</v>
      </c>
      <c r="D4640" s="5">
        <v>41549</v>
      </c>
      <c r="E4640" s="4" t="s">
        <v>7</v>
      </c>
      <c r="F4640" s="4" t="s">
        <v>808</v>
      </c>
    </row>
    <row r="4641" spans="1:6" x14ac:dyDescent="0.25">
      <c r="A4641" s="4" t="str">
        <f>CONCATENATE("3071-0000-7705","")</f>
        <v>3071-0000-7705</v>
      </c>
      <c r="B4641" s="4" t="s">
        <v>5141</v>
      </c>
      <c r="C4641" s="5">
        <v>41489</v>
      </c>
      <c r="D4641" s="5">
        <v>41549</v>
      </c>
      <c r="E4641" s="4" t="s">
        <v>1410</v>
      </c>
      <c r="F4641" s="4" t="s">
        <v>4616</v>
      </c>
    </row>
    <row r="4642" spans="1:6" x14ac:dyDescent="0.25">
      <c r="A4642" s="4" t="str">
        <f>CONCATENATE("3071-0000-3274","")</f>
        <v>3071-0000-3274</v>
      </c>
      <c r="B4642" s="4" t="s">
        <v>1144</v>
      </c>
      <c r="C4642" s="5">
        <v>41489</v>
      </c>
      <c r="D4642" s="5">
        <v>41549</v>
      </c>
      <c r="E4642" s="4" t="s">
        <v>7</v>
      </c>
      <c r="F4642" s="4" t="s">
        <v>808</v>
      </c>
    </row>
    <row r="4643" spans="1:6" x14ac:dyDescent="0.25">
      <c r="A4643" s="4" t="str">
        <f>CONCATENATE("3071-0000-6973","")</f>
        <v>3071-0000-6973</v>
      </c>
      <c r="B4643" s="4" t="s">
        <v>4440</v>
      </c>
      <c r="C4643" s="5">
        <v>41489</v>
      </c>
      <c r="D4643" s="5">
        <v>41549</v>
      </c>
      <c r="E4643" s="4" t="s">
        <v>1410</v>
      </c>
      <c r="F4643" s="4" t="s">
        <v>1410</v>
      </c>
    </row>
    <row r="4644" spans="1:6" x14ac:dyDescent="0.25">
      <c r="A4644" s="4" t="str">
        <f>CONCATENATE("3071-0000-3108","")</f>
        <v>3071-0000-3108</v>
      </c>
      <c r="B4644" s="4" t="s">
        <v>1217</v>
      </c>
      <c r="C4644" s="5">
        <v>41489</v>
      </c>
      <c r="D4644" s="5">
        <v>41549</v>
      </c>
      <c r="E4644" s="4" t="s">
        <v>7</v>
      </c>
      <c r="F4644" s="4" t="s">
        <v>808</v>
      </c>
    </row>
    <row r="4645" spans="1:6" x14ac:dyDescent="0.25">
      <c r="A4645" s="4" t="str">
        <f>CONCATENATE("3071-0000-3188","")</f>
        <v>3071-0000-3188</v>
      </c>
      <c r="B4645" s="4" t="s">
        <v>1270</v>
      </c>
      <c r="C4645" s="5">
        <v>41489</v>
      </c>
      <c r="D4645" s="5">
        <v>41549</v>
      </c>
      <c r="E4645" s="4" t="s">
        <v>7</v>
      </c>
      <c r="F4645" s="4" t="s">
        <v>808</v>
      </c>
    </row>
    <row r="4646" spans="1:6" x14ac:dyDescent="0.25">
      <c r="A4646" s="4" t="str">
        <f>CONCATENATE("3071-0000-3075","")</f>
        <v>3071-0000-3075</v>
      </c>
      <c r="B4646" s="4" t="s">
        <v>1177</v>
      </c>
      <c r="C4646" s="5">
        <v>41489</v>
      </c>
      <c r="D4646" s="5">
        <v>41549</v>
      </c>
      <c r="E4646" s="4" t="s">
        <v>7</v>
      </c>
      <c r="F4646" s="4" t="s">
        <v>808</v>
      </c>
    </row>
    <row r="4647" spans="1:6" x14ac:dyDescent="0.25">
      <c r="A4647" s="4" t="str">
        <f>CONCATENATE("3071-0000-2813","")</f>
        <v>3071-0000-2813</v>
      </c>
      <c r="B4647" s="4" t="s">
        <v>1040</v>
      </c>
      <c r="C4647" s="5">
        <v>41489</v>
      </c>
      <c r="D4647" s="5">
        <v>41549</v>
      </c>
      <c r="E4647" s="4" t="s">
        <v>7</v>
      </c>
      <c r="F4647" s="4" t="s">
        <v>808</v>
      </c>
    </row>
    <row r="4648" spans="1:6" x14ac:dyDescent="0.25">
      <c r="A4648" s="4" t="str">
        <f>CONCATENATE("3071-0000-3192","")</f>
        <v>3071-0000-3192</v>
      </c>
      <c r="B4648" s="4" t="s">
        <v>1268</v>
      </c>
      <c r="C4648" s="5">
        <v>41489</v>
      </c>
      <c r="D4648" s="5">
        <v>41549</v>
      </c>
      <c r="E4648" s="4" t="s">
        <v>7</v>
      </c>
      <c r="F4648" s="4" t="s">
        <v>808</v>
      </c>
    </row>
    <row r="4649" spans="1:6" x14ac:dyDescent="0.25">
      <c r="A4649" s="4" t="str">
        <f>CONCATENATE("3071-0000-3216","")</f>
        <v>3071-0000-3216</v>
      </c>
      <c r="B4649" s="4" t="s">
        <v>1149</v>
      </c>
      <c r="C4649" s="5">
        <v>41489</v>
      </c>
      <c r="D4649" s="5">
        <v>41549</v>
      </c>
      <c r="E4649" s="4" t="s">
        <v>7</v>
      </c>
      <c r="F4649" s="4" t="s">
        <v>808</v>
      </c>
    </row>
    <row r="4650" spans="1:6" x14ac:dyDescent="0.25">
      <c r="A4650" s="4" t="str">
        <f>CONCATENATE("3071-0000-2814","")</f>
        <v>3071-0000-2814</v>
      </c>
      <c r="B4650" s="4" t="s">
        <v>1065</v>
      </c>
      <c r="C4650" s="5">
        <v>41489</v>
      </c>
      <c r="D4650" s="5">
        <v>41549</v>
      </c>
      <c r="E4650" s="4" t="s">
        <v>7</v>
      </c>
      <c r="F4650" s="4" t="s">
        <v>808</v>
      </c>
    </row>
    <row r="4651" spans="1:6" x14ac:dyDescent="0.25">
      <c r="A4651" s="4" t="str">
        <f>CONCATENATE("3071-0000-2192","")</f>
        <v>3071-0000-2192</v>
      </c>
      <c r="B4651" s="4" t="s">
        <v>3203</v>
      </c>
      <c r="C4651" s="5">
        <v>41489</v>
      </c>
      <c r="D4651" s="5">
        <v>41549</v>
      </c>
      <c r="E4651" s="4" t="s">
        <v>2944</v>
      </c>
      <c r="F4651" s="4" t="s">
        <v>2945</v>
      </c>
    </row>
    <row r="4652" spans="1:6" x14ac:dyDescent="0.25">
      <c r="A4652" s="4" t="str">
        <f>CONCATENATE("3071-0000-2592","")</f>
        <v>3071-0000-2592</v>
      </c>
      <c r="B4652" s="4" t="s">
        <v>3238</v>
      </c>
      <c r="C4652" s="5">
        <v>41489</v>
      </c>
      <c r="D4652" s="5">
        <v>41549</v>
      </c>
      <c r="E4652" s="4" t="s">
        <v>2944</v>
      </c>
      <c r="F4652" s="4" t="s">
        <v>3164</v>
      </c>
    </row>
    <row r="4653" spans="1:6" x14ac:dyDescent="0.25">
      <c r="A4653" s="4" t="str">
        <f>CONCATENATE("3071-0000-4490","")</f>
        <v>3071-0000-4490</v>
      </c>
      <c r="B4653" s="4" t="s">
        <v>9099</v>
      </c>
      <c r="C4653" s="5">
        <v>41489</v>
      </c>
      <c r="D4653" s="5">
        <v>41549</v>
      </c>
      <c r="E4653" s="4" t="s">
        <v>1410</v>
      </c>
      <c r="F4653" s="4" t="s">
        <v>8696</v>
      </c>
    </row>
    <row r="4654" spans="1:6" x14ac:dyDescent="0.25">
      <c r="A4654" s="4" t="str">
        <f>CONCATENATE("3071-0000-4356","")</f>
        <v>3071-0000-4356</v>
      </c>
      <c r="B4654" s="4" t="s">
        <v>9057</v>
      </c>
      <c r="C4654" s="5">
        <v>41489</v>
      </c>
      <c r="D4654" s="5">
        <v>41549</v>
      </c>
      <c r="E4654" s="4" t="s">
        <v>1410</v>
      </c>
      <c r="F4654" s="4" t="s">
        <v>8696</v>
      </c>
    </row>
    <row r="4655" spans="1:6" x14ac:dyDescent="0.25">
      <c r="A4655" s="4" t="str">
        <f>CONCATENATE("3071-0000-8694","")</f>
        <v>3071-0000-8694</v>
      </c>
      <c r="B4655" s="4" t="s">
        <v>6466</v>
      </c>
      <c r="C4655" s="5">
        <v>41489</v>
      </c>
      <c r="D4655" s="5">
        <v>41549</v>
      </c>
      <c r="E4655" s="4" t="s">
        <v>5185</v>
      </c>
      <c r="F4655" s="4" t="s">
        <v>5292</v>
      </c>
    </row>
    <row r="4656" spans="1:6" x14ac:dyDescent="0.25">
      <c r="A4656" s="4" t="str">
        <f>CONCATENATE("3071-0000-7120","")</f>
        <v>3071-0000-7120</v>
      </c>
      <c r="B4656" s="4" t="s">
        <v>4796</v>
      </c>
      <c r="C4656" s="5">
        <v>41489</v>
      </c>
      <c r="D4656" s="5">
        <v>41549</v>
      </c>
      <c r="E4656" s="4" t="s">
        <v>1410</v>
      </c>
      <c r="F4656" s="4" t="s">
        <v>1410</v>
      </c>
    </row>
    <row r="4657" spans="1:6" x14ac:dyDescent="0.25">
      <c r="A4657" s="4" t="str">
        <f>CONCATENATE("3071-0000-0529","")</f>
        <v>3071-0000-0529</v>
      </c>
      <c r="B4657" s="4" t="s">
        <v>30</v>
      </c>
      <c r="C4657" s="5">
        <v>41489</v>
      </c>
      <c r="D4657" s="5">
        <v>41549</v>
      </c>
      <c r="E4657" s="4" t="s">
        <v>7</v>
      </c>
      <c r="F4657" s="4" t="s">
        <v>7</v>
      </c>
    </row>
    <row r="4658" spans="1:6" x14ac:dyDescent="0.25">
      <c r="A4658" s="4" t="str">
        <f>CONCATENATE("3071-0000-8479","")</f>
        <v>3071-0000-8479</v>
      </c>
      <c r="B4658" s="4" t="s">
        <v>6105</v>
      </c>
      <c r="C4658" s="5">
        <v>41489</v>
      </c>
      <c r="D4658" s="5">
        <v>41549</v>
      </c>
      <c r="E4658" s="4" t="s">
        <v>5185</v>
      </c>
      <c r="F4658" s="4" t="s">
        <v>5945</v>
      </c>
    </row>
    <row r="4659" spans="1:6" x14ac:dyDescent="0.25">
      <c r="A4659" s="4" t="str">
        <f>CONCATENATE("3071-0000-8987","")</f>
        <v>3071-0000-8987</v>
      </c>
      <c r="B4659" s="4" t="s">
        <v>6101</v>
      </c>
      <c r="C4659" s="5">
        <v>41489</v>
      </c>
      <c r="D4659" s="5">
        <v>41549</v>
      </c>
      <c r="E4659" s="4" t="s">
        <v>5185</v>
      </c>
      <c r="F4659" s="4" t="s">
        <v>5945</v>
      </c>
    </row>
    <row r="4660" spans="1:6" x14ac:dyDescent="0.25">
      <c r="A4660" s="4" t="str">
        <f>CONCATENATE("3071-0000-5076","")</f>
        <v>3071-0000-5076</v>
      </c>
      <c r="B4660" s="4" t="s">
        <v>9112</v>
      </c>
      <c r="C4660" s="5">
        <v>41489</v>
      </c>
      <c r="D4660" s="5">
        <v>41549</v>
      </c>
      <c r="E4660" s="4" t="s">
        <v>7069</v>
      </c>
      <c r="F4660" s="4" t="s">
        <v>9065</v>
      </c>
    </row>
    <row r="4661" spans="1:6" x14ac:dyDescent="0.25">
      <c r="A4661" s="4" t="str">
        <f>CONCATENATE("3071-0000-4351","")</f>
        <v>3071-0000-4351</v>
      </c>
      <c r="B4661" s="4" t="s">
        <v>9122</v>
      </c>
      <c r="C4661" s="5">
        <v>41489</v>
      </c>
      <c r="D4661" s="5">
        <v>41549</v>
      </c>
      <c r="E4661" s="4" t="s">
        <v>1410</v>
      </c>
      <c r="F4661" s="4" t="s">
        <v>8696</v>
      </c>
    </row>
    <row r="4662" spans="1:6" x14ac:dyDescent="0.25">
      <c r="A4662" s="4" t="str">
        <f>CONCATENATE("3071-0000-8489","")</f>
        <v>3071-0000-8489</v>
      </c>
      <c r="B4662" s="4" t="s">
        <v>6110</v>
      </c>
      <c r="C4662" s="5">
        <v>41489</v>
      </c>
      <c r="D4662" s="5">
        <v>41549</v>
      </c>
      <c r="E4662" s="4" t="s">
        <v>5185</v>
      </c>
      <c r="F4662" s="4" t="s">
        <v>5945</v>
      </c>
    </row>
    <row r="4663" spans="1:6" x14ac:dyDescent="0.25">
      <c r="A4663" s="4" t="str">
        <f>CONCATENATE("3071-0000-6719","")</f>
        <v>3071-0000-6719</v>
      </c>
      <c r="B4663" s="4" t="s">
        <v>8186</v>
      </c>
      <c r="C4663" s="5">
        <v>41489</v>
      </c>
      <c r="D4663" s="5">
        <v>41549</v>
      </c>
      <c r="E4663" s="4" t="s">
        <v>5185</v>
      </c>
      <c r="F4663" s="4" t="s">
        <v>5185</v>
      </c>
    </row>
    <row r="4664" spans="1:6" x14ac:dyDescent="0.25">
      <c r="A4664" s="4" t="str">
        <f>CONCATENATE("3071-0000-5310","")</f>
        <v>3071-0000-5310</v>
      </c>
      <c r="B4664" s="4" t="s">
        <v>6801</v>
      </c>
      <c r="C4664" s="5">
        <v>41489</v>
      </c>
      <c r="D4664" s="5">
        <v>41549</v>
      </c>
      <c r="E4664" s="4" t="s">
        <v>5185</v>
      </c>
      <c r="F4664" s="4" t="s">
        <v>5185</v>
      </c>
    </row>
    <row r="4665" spans="1:6" x14ac:dyDescent="0.25">
      <c r="A4665" s="4" t="str">
        <f>CONCATENATE("3071-0000-4130","")</f>
        <v>3071-0000-4130</v>
      </c>
      <c r="B4665" s="4" t="s">
        <v>4252</v>
      </c>
      <c r="C4665" s="5">
        <v>41489</v>
      </c>
      <c r="D4665" s="5">
        <v>41549</v>
      </c>
      <c r="E4665" s="4" t="s">
        <v>7</v>
      </c>
      <c r="F4665" s="4" t="s">
        <v>1419</v>
      </c>
    </row>
    <row r="4666" spans="1:6" x14ac:dyDescent="0.25">
      <c r="A4666" s="4" t="str">
        <f>CONCATENATE("3071-0000-4135","")</f>
        <v>3071-0000-4135</v>
      </c>
      <c r="B4666" s="4" t="s">
        <v>4250</v>
      </c>
      <c r="C4666" s="5">
        <v>41489</v>
      </c>
      <c r="D4666" s="5">
        <v>41549</v>
      </c>
      <c r="E4666" s="4" t="s">
        <v>7</v>
      </c>
      <c r="F4666" s="4" t="s">
        <v>1419</v>
      </c>
    </row>
    <row r="4667" spans="1:6" x14ac:dyDescent="0.25">
      <c r="A4667" s="4" t="str">
        <f>CONCATENATE("3071-0000-5218","")</f>
        <v>3071-0000-5218</v>
      </c>
      <c r="B4667" s="4" t="s">
        <v>6653</v>
      </c>
      <c r="C4667" s="5">
        <v>41489</v>
      </c>
      <c r="D4667" s="5">
        <v>41549</v>
      </c>
      <c r="E4667" s="4" t="s">
        <v>1410</v>
      </c>
      <c r="F4667" s="4" t="s">
        <v>6635</v>
      </c>
    </row>
    <row r="4668" spans="1:6" x14ac:dyDescent="0.25">
      <c r="A4668" s="4" t="str">
        <f>CONCATENATE("3071-0000-8256","")</f>
        <v>3071-0000-8256</v>
      </c>
      <c r="B4668" s="4" t="s">
        <v>5393</v>
      </c>
      <c r="C4668" s="5">
        <v>41489</v>
      </c>
      <c r="D4668" s="5">
        <v>41549</v>
      </c>
      <c r="E4668" s="4" t="s">
        <v>5185</v>
      </c>
      <c r="F4668" s="4" t="s">
        <v>5185</v>
      </c>
    </row>
    <row r="4669" spans="1:6" x14ac:dyDescent="0.25">
      <c r="A4669" s="4" t="str">
        <f>CONCATENATE("3071-0000-9040","")</f>
        <v>3071-0000-9040</v>
      </c>
      <c r="B4669" s="4" t="s">
        <v>6157</v>
      </c>
      <c r="C4669" s="5">
        <v>41489</v>
      </c>
      <c r="D4669" s="5">
        <v>41549</v>
      </c>
      <c r="E4669" s="4" t="s">
        <v>5185</v>
      </c>
      <c r="F4669" s="4" t="s">
        <v>5945</v>
      </c>
    </row>
    <row r="4670" spans="1:6" x14ac:dyDescent="0.25">
      <c r="A4670" s="4" t="str">
        <f>CONCATENATE("3071-0000-8254","")</f>
        <v>3071-0000-8254</v>
      </c>
      <c r="B4670" s="4" t="s">
        <v>5395</v>
      </c>
      <c r="C4670" s="5">
        <v>41489</v>
      </c>
      <c r="D4670" s="5">
        <v>41549</v>
      </c>
      <c r="E4670" s="4" t="s">
        <v>5185</v>
      </c>
      <c r="F4670" s="4" t="s">
        <v>5185</v>
      </c>
    </row>
    <row r="4671" spans="1:6" x14ac:dyDescent="0.25">
      <c r="A4671" s="4" t="str">
        <f>CONCATENATE("3071-0000-1160","")</f>
        <v>3071-0000-1160</v>
      </c>
      <c r="B4671" s="4" t="s">
        <v>2251</v>
      </c>
      <c r="C4671" s="5">
        <v>41489</v>
      </c>
      <c r="D4671" s="5">
        <v>41549</v>
      </c>
      <c r="E4671" s="4" t="s">
        <v>1381</v>
      </c>
      <c r="F4671" s="4" t="s">
        <v>2236</v>
      </c>
    </row>
    <row r="4672" spans="1:6" x14ac:dyDescent="0.25">
      <c r="A4672" s="4" t="str">
        <f>CONCATENATE("3071-0000-1218","")</f>
        <v>3071-0000-1218</v>
      </c>
      <c r="B4672" s="4" t="s">
        <v>2288</v>
      </c>
      <c r="C4672" s="5">
        <v>41489</v>
      </c>
      <c r="D4672" s="5">
        <v>41549</v>
      </c>
      <c r="E4672" s="4" t="s">
        <v>1381</v>
      </c>
      <c r="F4672" s="4" t="s">
        <v>2259</v>
      </c>
    </row>
    <row r="4673" spans="1:6" x14ac:dyDescent="0.25">
      <c r="A4673" s="4" t="str">
        <f>CONCATENATE("3071-0000-1098","")</f>
        <v>3071-0000-1098</v>
      </c>
      <c r="B4673" s="4" t="s">
        <v>2258</v>
      </c>
      <c r="C4673" s="5">
        <v>41489</v>
      </c>
      <c r="D4673" s="5">
        <v>41549</v>
      </c>
      <c r="E4673" s="4" t="s">
        <v>1381</v>
      </c>
      <c r="F4673" s="4" t="s">
        <v>2259</v>
      </c>
    </row>
    <row r="4674" spans="1:6" x14ac:dyDescent="0.25">
      <c r="A4674" s="4" t="str">
        <f>CONCATENATE("3071-0000-1035","")</f>
        <v>3071-0000-1035</v>
      </c>
      <c r="B4674" s="4" t="s">
        <v>2275</v>
      </c>
      <c r="C4674" s="5">
        <v>41489</v>
      </c>
      <c r="D4674" s="5">
        <v>41549</v>
      </c>
      <c r="E4674" s="4" t="s">
        <v>1857</v>
      </c>
      <c r="F4674" s="4" t="s">
        <v>1857</v>
      </c>
    </row>
    <row r="4675" spans="1:6" x14ac:dyDescent="0.25">
      <c r="A4675" s="4" t="str">
        <f>CONCATENATE("3071-0000-5369","")</f>
        <v>3071-0000-5369</v>
      </c>
      <c r="B4675" s="4" t="s">
        <v>6877</v>
      </c>
      <c r="C4675" s="5">
        <v>41489</v>
      </c>
      <c r="D4675" s="5">
        <v>41549</v>
      </c>
      <c r="E4675" s="4" t="s">
        <v>5185</v>
      </c>
      <c r="F4675" s="4" t="s">
        <v>5185</v>
      </c>
    </row>
    <row r="4676" spans="1:6" x14ac:dyDescent="0.25">
      <c r="A4676" s="4" t="str">
        <f>CONCATENATE("3071-0000-3374","")</f>
        <v>3071-0000-3374</v>
      </c>
      <c r="B4676" s="4" t="s">
        <v>1516</v>
      </c>
      <c r="C4676" s="5">
        <v>41489</v>
      </c>
      <c r="D4676" s="5">
        <v>41549</v>
      </c>
      <c r="E4676" s="4" t="s">
        <v>1410</v>
      </c>
      <c r="F4676" s="4" t="s">
        <v>1411</v>
      </c>
    </row>
    <row r="4677" spans="1:6" x14ac:dyDescent="0.25">
      <c r="A4677" s="4" t="str">
        <f>CONCATENATE("3071-0000-4376","")</f>
        <v>3071-0000-4376</v>
      </c>
      <c r="B4677" s="4" t="s">
        <v>9223</v>
      </c>
      <c r="C4677" s="5">
        <v>41489</v>
      </c>
      <c r="D4677" s="5">
        <v>41549</v>
      </c>
      <c r="E4677" s="4" t="s">
        <v>1410</v>
      </c>
      <c r="F4677" s="4" t="s">
        <v>8696</v>
      </c>
    </row>
    <row r="4678" spans="1:6" x14ac:dyDescent="0.25">
      <c r="A4678" s="4" t="str">
        <f>CONCATENATE("3071-0000-4433","")</f>
        <v>3071-0000-4433</v>
      </c>
      <c r="B4678" s="4" t="s">
        <v>9304</v>
      </c>
      <c r="C4678" s="5">
        <v>41489</v>
      </c>
      <c r="D4678" s="5">
        <v>41549</v>
      </c>
      <c r="E4678" s="4" t="s">
        <v>1410</v>
      </c>
      <c r="F4678" s="4" t="s">
        <v>8696</v>
      </c>
    </row>
    <row r="4679" spans="1:6" x14ac:dyDescent="0.25">
      <c r="A4679" s="4" t="str">
        <f>CONCATENATE("3071-0000-7809","")</f>
        <v>3071-0000-7809</v>
      </c>
      <c r="B4679" s="4" t="s">
        <v>5642</v>
      </c>
      <c r="C4679" s="5">
        <v>41489</v>
      </c>
      <c r="D4679" s="5">
        <v>41549</v>
      </c>
      <c r="E4679" s="4" t="s">
        <v>5185</v>
      </c>
      <c r="F4679" s="4" t="s">
        <v>5185</v>
      </c>
    </row>
    <row r="4680" spans="1:6" x14ac:dyDescent="0.25">
      <c r="A4680" s="4" t="str">
        <f>CONCATENATE("3071-0000-7923","")</f>
        <v>3071-0000-7923</v>
      </c>
      <c r="B4680" s="4" t="s">
        <v>5622</v>
      </c>
      <c r="C4680" s="5">
        <v>41489</v>
      </c>
      <c r="D4680" s="5">
        <v>41549</v>
      </c>
      <c r="E4680" s="4" t="s">
        <v>5185</v>
      </c>
      <c r="F4680" s="4" t="s">
        <v>5185</v>
      </c>
    </row>
    <row r="4681" spans="1:6" x14ac:dyDescent="0.25">
      <c r="A4681" s="4" t="str">
        <f>CONCATENATE("3071-0000-9262","")</f>
        <v>3071-0000-9262</v>
      </c>
      <c r="B4681" s="4" t="s">
        <v>8536</v>
      </c>
      <c r="C4681" s="5">
        <v>41489</v>
      </c>
      <c r="D4681" s="5">
        <v>41549</v>
      </c>
      <c r="E4681" s="4" t="s">
        <v>5185</v>
      </c>
      <c r="F4681" s="4" t="s">
        <v>5185</v>
      </c>
    </row>
    <row r="4682" spans="1:6" x14ac:dyDescent="0.25">
      <c r="A4682" s="4" t="str">
        <f>CONCATENATE("3071-0000-8691","")</f>
        <v>3071-0000-8691</v>
      </c>
      <c r="B4682" s="4" t="s">
        <v>6458</v>
      </c>
      <c r="C4682" s="5">
        <v>41489</v>
      </c>
      <c r="D4682" s="5">
        <v>41549</v>
      </c>
      <c r="E4682" s="4" t="s">
        <v>5185</v>
      </c>
      <c r="F4682" s="4" t="s">
        <v>5292</v>
      </c>
    </row>
    <row r="4683" spans="1:6" x14ac:dyDescent="0.25">
      <c r="A4683" s="4" t="str">
        <f>CONCATENATE("3071-0000-7117","")</f>
        <v>3071-0000-7117</v>
      </c>
      <c r="B4683" s="4" t="s">
        <v>4799</v>
      </c>
      <c r="C4683" s="5">
        <v>41489</v>
      </c>
      <c r="D4683" s="5">
        <v>41549</v>
      </c>
      <c r="E4683" s="4" t="s">
        <v>1410</v>
      </c>
      <c r="F4683" s="4" t="s">
        <v>1410</v>
      </c>
    </row>
    <row r="4684" spans="1:6" x14ac:dyDescent="0.25">
      <c r="A4684" s="4" t="str">
        <f>CONCATENATE("3071-0000-6747","")</f>
        <v>3071-0000-6747</v>
      </c>
      <c r="B4684" s="4" t="s">
        <v>8207</v>
      </c>
      <c r="C4684" s="5">
        <v>41489</v>
      </c>
      <c r="D4684" s="5">
        <v>41549</v>
      </c>
      <c r="E4684" s="4" t="s">
        <v>5185</v>
      </c>
      <c r="F4684" s="4" t="s">
        <v>5185</v>
      </c>
    </row>
    <row r="4685" spans="1:6" x14ac:dyDescent="0.25">
      <c r="A4685" s="4" t="str">
        <f>CONCATENATE("3071-0000-5740","")</f>
        <v>3071-0000-5740</v>
      </c>
      <c r="B4685" s="4" t="s">
        <v>7452</v>
      </c>
      <c r="C4685" s="5">
        <v>41489</v>
      </c>
      <c r="D4685" s="5">
        <v>41549</v>
      </c>
      <c r="E4685" s="4" t="s">
        <v>5185</v>
      </c>
      <c r="F4685" s="4" t="s">
        <v>5185</v>
      </c>
    </row>
    <row r="4686" spans="1:6" x14ac:dyDescent="0.25">
      <c r="A4686" s="4" t="str">
        <f>CONCATENATE("3071-0000-5742","")</f>
        <v>3071-0000-5742</v>
      </c>
      <c r="B4686" s="4" t="s">
        <v>7453</v>
      </c>
      <c r="C4686" s="5">
        <v>41489</v>
      </c>
      <c r="D4686" s="5">
        <v>41549</v>
      </c>
      <c r="E4686" s="4" t="s">
        <v>5185</v>
      </c>
      <c r="F4686" s="4" t="s">
        <v>5185</v>
      </c>
    </row>
    <row r="4687" spans="1:6" x14ac:dyDescent="0.25">
      <c r="A4687" s="4" t="str">
        <f>CONCATENATE("3071-0000-3965","")</f>
        <v>3071-0000-3965</v>
      </c>
      <c r="B4687" s="4" t="s">
        <v>4165</v>
      </c>
      <c r="C4687" s="5">
        <v>41489</v>
      </c>
      <c r="D4687" s="5">
        <v>41549</v>
      </c>
      <c r="E4687" s="4" t="s">
        <v>2944</v>
      </c>
      <c r="F4687" s="4" t="s">
        <v>3513</v>
      </c>
    </row>
    <row r="4688" spans="1:6" x14ac:dyDescent="0.25">
      <c r="A4688" s="4" t="str">
        <f>CONCATENATE("3071-0000-5591","")</f>
        <v>3071-0000-5591</v>
      </c>
      <c r="B4688" s="4" t="s">
        <v>7065</v>
      </c>
      <c r="C4688" s="5">
        <v>41489</v>
      </c>
      <c r="D4688" s="5">
        <v>41549</v>
      </c>
      <c r="E4688" s="4" t="s">
        <v>5185</v>
      </c>
      <c r="F4688" s="4" t="s">
        <v>5185</v>
      </c>
    </row>
    <row r="4689" spans="1:6" x14ac:dyDescent="0.25">
      <c r="A4689" s="4" t="str">
        <f>CONCATENATE("3071-0000-6626","")</f>
        <v>3071-0000-6626</v>
      </c>
      <c r="B4689" s="4" t="s">
        <v>8219</v>
      </c>
      <c r="C4689" s="5">
        <v>41489</v>
      </c>
      <c r="D4689" s="5">
        <v>41549</v>
      </c>
      <c r="E4689" s="4" t="s">
        <v>5185</v>
      </c>
      <c r="F4689" s="4" t="s">
        <v>5185</v>
      </c>
    </row>
    <row r="4690" spans="1:6" x14ac:dyDescent="0.25">
      <c r="A4690" s="4" t="str">
        <f>CONCATENATE("3071-0000-0913","")</f>
        <v>3071-0000-0913</v>
      </c>
      <c r="B4690" s="4" t="s">
        <v>2116</v>
      </c>
      <c r="C4690" s="5">
        <v>41489</v>
      </c>
      <c r="D4690" s="5">
        <v>41549</v>
      </c>
      <c r="E4690" s="4" t="s">
        <v>1857</v>
      </c>
      <c r="F4690" s="4" t="s">
        <v>1857</v>
      </c>
    </row>
    <row r="4691" spans="1:6" x14ac:dyDescent="0.25">
      <c r="A4691" s="4" t="str">
        <f>CONCATENATE("3071-0000-7621","")</f>
        <v>3071-0000-7621</v>
      </c>
      <c r="B4691" s="4" t="s">
        <v>5147</v>
      </c>
      <c r="C4691" s="5">
        <v>41489</v>
      </c>
      <c r="D4691" s="5">
        <v>41549</v>
      </c>
      <c r="E4691" s="4" t="s">
        <v>1410</v>
      </c>
      <c r="F4691" s="4" t="s">
        <v>4616</v>
      </c>
    </row>
    <row r="4692" spans="1:6" x14ac:dyDescent="0.25">
      <c r="A4692" s="4" t="str">
        <f>CONCATENATE("3071-0000-6987","")</f>
        <v>3071-0000-6987</v>
      </c>
      <c r="B4692" s="4" t="s">
        <v>4347</v>
      </c>
      <c r="C4692" s="5">
        <v>41489</v>
      </c>
      <c r="D4692" s="5">
        <v>41549</v>
      </c>
      <c r="E4692" s="4" t="s">
        <v>1410</v>
      </c>
      <c r="F4692" s="4" t="s">
        <v>1410</v>
      </c>
    </row>
    <row r="4693" spans="1:6" x14ac:dyDescent="0.25">
      <c r="A4693" s="4" t="str">
        <f>CONCATENATE("3071-0000-0542","")</f>
        <v>3071-0000-0542</v>
      </c>
      <c r="B4693" s="4" t="s">
        <v>82</v>
      </c>
      <c r="C4693" s="5">
        <v>41489</v>
      </c>
      <c r="D4693" s="5">
        <v>41549</v>
      </c>
      <c r="E4693" s="4" t="s">
        <v>7</v>
      </c>
      <c r="F4693" s="4" t="s">
        <v>7</v>
      </c>
    </row>
    <row r="4694" spans="1:6" x14ac:dyDescent="0.25">
      <c r="A4694" s="4" t="str">
        <f>CONCATENATE("3071-0000-7123","")</f>
        <v>3071-0000-7123</v>
      </c>
      <c r="B4694" s="4" t="s">
        <v>4786</v>
      </c>
      <c r="C4694" s="5">
        <v>41489</v>
      </c>
      <c r="D4694" s="5">
        <v>41549</v>
      </c>
      <c r="E4694" s="4" t="s">
        <v>1410</v>
      </c>
      <c r="F4694" s="4" t="s">
        <v>1410</v>
      </c>
    </row>
    <row r="4695" spans="1:6" x14ac:dyDescent="0.25">
      <c r="A4695" s="4" t="str">
        <f>CONCATENATE("3071-0000-3876","")</f>
        <v>3071-0000-3876</v>
      </c>
      <c r="B4695" s="4" t="s">
        <v>4026</v>
      </c>
      <c r="C4695" s="5">
        <v>41489</v>
      </c>
      <c r="D4695" s="5">
        <v>41549</v>
      </c>
      <c r="E4695" s="4" t="s">
        <v>1381</v>
      </c>
      <c r="F4695" s="4" t="s">
        <v>3994</v>
      </c>
    </row>
    <row r="4696" spans="1:6" x14ac:dyDescent="0.25">
      <c r="A4696" s="4" t="str">
        <f>CONCATENATE("3071-0000-6564","")</f>
        <v>3071-0000-6564</v>
      </c>
      <c r="B4696" s="4" t="s">
        <v>7813</v>
      </c>
      <c r="C4696" s="5">
        <v>41489</v>
      </c>
      <c r="D4696" s="5">
        <v>41549</v>
      </c>
      <c r="E4696" s="4" t="s">
        <v>5185</v>
      </c>
      <c r="F4696" s="4" t="s">
        <v>5185</v>
      </c>
    </row>
    <row r="4697" spans="1:6" x14ac:dyDescent="0.25">
      <c r="A4697" s="4" t="str">
        <f>CONCATENATE("3071-0000-1831","")</f>
        <v>3071-0000-1831</v>
      </c>
      <c r="B4697" s="4" t="s">
        <v>2870</v>
      </c>
      <c r="C4697" s="5">
        <v>41489</v>
      </c>
      <c r="D4697" s="5">
        <v>41549</v>
      </c>
      <c r="E4697" s="4" t="s">
        <v>1381</v>
      </c>
      <c r="F4697" s="4" t="s">
        <v>2840</v>
      </c>
    </row>
    <row r="4698" spans="1:6" x14ac:dyDescent="0.25">
      <c r="A4698" s="4" t="str">
        <f>CONCATENATE("3071-0000-6605","")</f>
        <v>3071-0000-6605</v>
      </c>
      <c r="B4698" s="4" t="s">
        <v>7991</v>
      </c>
      <c r="C4698" s="5">
        <v>41489</v>
      </c>
      <c r="D4698" s="5">
        <v>41549</v>
      </c>
      <c r="E4698" s="4" t="s">
        <v>5185</v>
      </c>
      <c r="F4698" s="4" t="s">
        <v>5185</v>
      </c>
    </row>
    <row r="4699" spans="1:6" x14ac:dyDescent="0.25">
      <c r="A4699" s="4" t="str">
        <f>CONCATENATE("3071-0000-1327","")</f>
        <v>3071-0000-1327</v>
      </c>
      <c r="B4699" s="4" t="s">
        <v>2454</v>
      </c>
      <c r="C4699" s="5">
        <v>41489</v>
      </c>
      <c r="D4699" s="5">
        <v>41549</v>
      </c>
      <c r="E4699" s="4" t="s">
        <v>1381</v>
      </c>
      <c r="F4699" s="4" t="s">
        <v>2303</v>
      </c>
    </row>
    <row r="4700" spans="1:6" x14ac:dyDescent="0.25">
      <c r="A4700" s="4" t="str">
        <f>CONCATENATE("3071-0000-1040","")</f>
        <v>3071-0000-1040</v>
      </c>
      <c r="B4700" s="4" t="s">
        <v>2272</v>
      </c>
      <c r="C4700" s="5">
        <v>41489</v>
      </c>
      <c r="D4700" s="5">
        <v>41549</v>
      </c>
      <c r="E4700" s="4" t="s">
        <v>1857</v>
      </c>
      <c r="F4700" s="4" t="s">
        <v>1857</v>
      </c>
    </row>
    <row r="4701" spans="1:6" x14ac:dyDescent="0.25">
      <c r="A4701" s="4" t="str">
        <f>CONCATENATE("3071-0000-1041","")</f>
        <v>3071-0000-1041</v>
      </c>
      <c r="B4701" s="4" t="s">
        <v>2270</v>
      </c>
      <c r="C4701" s="5">
        <v>41489</v>
      </c>
      <c r="D4701" s="5">
        <v>41549</v>
      </c>
      <c r="E4701" s="4" t="s">
        <v>1857</v>
      </c>
      <c r="F4701" s="4" t="s">
        <v>1857</v>
      </c>
    </row>
    <row r="4702" spans="1:6" x14ac:dyDescent="0.25">
      <c r="A4702" s="4" t="str">
        <f>CONCATENATE("3071-0000-0748","")</f>
        <v>3071-0000-0748</v>
      </c>
      <c r="B4702" s="4" t="s">
        <v>204</v>
      </c>
      <c r="C4702" s="5">
        <v>41489</v>
      </c>
      <c r="D4702" s="5">
        <v>41549</v>
      </c>
      <c r="E4702" s="4" t="s">
        <v>7</v>
      </c>
      <c r="F4702" s="4" t="s">
        <v>7</v>
      </c>
    </row>
    <row r="4703" spans="1:6" x14ac:dyDescent="0.25">
      <c r="A4703" s="4" t="str">
        <f>CONCATENATE("3071-0000-3854","")</f>
        <v>3071-0000-3854</v>
      </c>
      <c r="B4703" s="4" t="s">
        <v>3995</v>
      </c>
      <c r="C4703" s="5">
        <v>41489</v>
      </c>
      <c r="D4703" s="5">
        <v>41549</v>
      </c>
      <c r="E4703" s="4" t="s">
        <v>1381</v>
      </c>
      <c r="F4703" s="4" t="s">
        <v>3994</v>
      </c>
    </row>
    <row r="4704" spans="1:6" x14ac:dyDescent="0.25">
      <c r="A4704" s="4" t="str">
        <f>CONCATENATE("3071-0000-1533","")</f>
        <v>3071-0000-1533</v>
      </c>
      <c r="B4704" s="4" t="s">
        <v>2752</v>
      </c>
      <c r="C4704" s="5">
        <v>41489</v>
      </c>
      <c r="D4704" s="5">
        <v>41549</v>
      </c>
      <c r="E4704" s="4" t="s">
        <v>1381</v>
      </c>
      <c r="F4704" s="4" t="s">
        <v>2303</v>
      </c>
    </row>
    <row r="4705" spans="1:6" x14ac:dyDescent="0.25">
      <c r="A4705" s="4" t="str">
        <f>CONCATENATE("3071-0000-9617","")</f>
        <v>3071-0000-9617</v>
      </c>
      <c r="B4705" s="4" t="s">
        <v>8270</v>
      </c>
      <c r="C4705" s="5">
        <v>41489</v>
      </c>
      <c r="D4705" s="5">
        <v>41549</v>
      </c>
      <c r="E4705" s="4" t="s">
        <v>1410</v>
      </c>
      <c r="F4705" s="4" t="s">
        <v>7967</v>
      </c>
    </row>
    <row r="4706" spans="1:6" x14ac:dyDescent="0.25">
      <c r="A4706" s="4" t="str">
        <f>CONCATENATE("3071-0000-8240","")</f>
        <v>3071-0000-8240</v>
      </c>
      <c r="B4706" s="4" t="s">
        <v>5948</v>
      </c>
      <c r="C4706" s="5">
        <v>41489</v>
      </c>
      <c r="D4706" s="5">
        <v>41549</v>
      </c>
      <c r="E4706" s="4" t="s">
        <v>5185</v>
      </c>
      <c r="F4706" s="4" t="s">
        <v>5185</v>
      </c>
    </row>
    <row r="4707" spans="1:6" x14ac:dyDescent="0.25">
      <c r="A4707" s="4" t="str">
        <f>CONCATENATE("3071-0000-6690","")</f>
        <v>3071-0000-6690</v>
      </c>
      <c r="B4707" s="4" t="s">
        <v>8107</v>
      </c>
      <c r="C4707" s="5">
        <v>41489</v>
      </c>
      <c r="D4707" s="5">
        <v>41549</v>
      </c>
      <c r="E4707" s="4" t="s">
        <v>5185</v>
      </c>
      <c r="F4707" s="4" t="s">
        <v>5185</v>
      </c>
    </row>
    <row r="4708" spans="1:6" x14ac:dyDescent="0.25">
      <c r="A4708" s="4" t="str">
        <f>CONCATENATE("3071-0000-6629","")</f>
        <v>3071-0000-6629</v>
      </c>
      <c r="B4708" s="4" t="s">
        <v>8224</v>
      </c>
      <c r="C4708" s="5">
        <v>41489</v>
      </c>
      <c r="D4708" s="5">
        <v>41549</v>
      </c>
      <c r="E4708" s="4" t="s">
        <v>5185</v>
      </c>
      <c r="F4708" s="4" t="s">
        <v>5185</v>
      </c>
    </row>
    <row r="4709" spans="1:6" x14ac:dyDescent="0.25">
      <c r="A4709" s="4" t="str">
        <f>CONCATENATE("3071-0000-5818","")</f>
        <v>3071-0000-5818</v>
      </c>
      <c r="B4709" s="4" t="s">
        <v>6944</v>
      </c>
      <c r="C4709" s="5">
        <v>41489</v>
      </c>
      <c r="D4709" s="5">
        <v>41549</v>
      </c>
      <c r="E4709" s="4" t="s">
        <v>5185</v>
      </c>
      <c r="F4709" s="4" t="s">
        <v>5185</v>
      </c>
    </row>
    <row r="4710" spans="1:6" x14ac:dyDescent="0.25">
      <c r="A4710" s="4" t="str">
        <f>CONCATENATE("3071-0000-9515","")</f>
        <v>3071-0000-9515</v>
      </c>
      <c r="B4710" s="4" t="s">
        <v>8273</v>
      </c>
      <c r="C4710" s="5">
        <v>41489</v>
      </c>
      <c r="D4710" s="5">
        <v>41549</v>
      </c>
      <c r="E4710" s="4" t="s">
        <v>1410</v>
      </c>
      <c r="F4710" s="4" t="s">
        <v>7967</v>
      </c>
    </row>
    <row r="4711" spans="1:6" x14ac:dyDescent="0.25">
      <c r="A4711" s="4" t="str">
        <f>CONCATENATE("3071-0000-8388","")</f>
        <v>3071-0000-8388</v>
      </c>
      <c r="B4711" s="4" t="s">
        <v>5941</v>
      </c>
      <c r="C4711" s="5">
        <v>41489</v>
      </c>
      <c r="D4711" s="5">
        <v>41549</v>
      </c>
      <c r="E4711" s="4" t="s">
        <v>5185</v>
      </c>
      <c r="F4711" s="4" t="s">
        <v>5185</v>
      </c>
    </row>
    <row r="4712" spans="1:6" x14ac:dyDescent="0.25">
      <c r="A4712" s="4" t="str">
        <f>CONCATENATE("3071-0000-8215","")</f>
        <v>3071-0000-8215</v>
      </c>
      <c r="B4712" s="4" t="s">
        <v>5830</v>
      </c>
      <c r="C4712" s="5">
        <v>41489</v>
      </c>
      <c r="D4712" s="5">
        <v>41549</v>
      </c>
      <c r="E4712" s="4" t="s">
        <v>5185</v>
      </c>
      <c r="F4712" s="4" t="s">
        <v>5185</v>
      </c>
    </row>
    <row r="4713" spans="1:6" x14ac:dyDescent="0.25">
      <c r="A4713" s="4" t="str">
        <f>CONCATENATE("3071-0000-6705","")</f>
        <v>3071-0000-6705</v>
      </c>
      <c r="B4713" s="4" t="s">
        <v>8181</v>
      </c>
      <c r="C4713" s="5">
        <v>41489</v>
      </c>
      <c r="D4713" s="5">
        <v>41549</v>
      </c>
      <c r="E4713" s="4" t="s">
        <v>5185</v>
      </c>
      <c r="F4713" s="4" t="s">
        <v>5185</v>
      </c>
    </row>
    <row r="4714" spans="1:6" x14ac:dyDescent="0.25">
      <c r="A4714" s="4" t="str">
        <f>CONCATENATE("3071-0000-9321","")</f>
        <v>3071-0000-9321</v>
      </c>
      <c r="B4714" s="4" t="s">
        <v>8378</v>
      </c>
      <c r="C4714" s="5">
        <v>41489</v>
      </c>
      <c r="D4714" s="5">
        <v>41549</v>
      </c>
      <c r="E4714" s="4" t="s">
        <v>5185</v>
      </c>
      <c r="F4714" s="4" t="s">
        <v>5185</v>
      </c>
    </row>
    <row r="4715" spans="1:6" x14ac:dyDescent="0.25">
      <c r="A4715" s="4" t="str">
        <f>CONCATENATE("3071-0000-6434","")</f>
        <v>3071-0000-6434</v>
      </c>
      <c r="B4715" s="4" t="s">
        <v>8141</v>
      </c>
      <c r="C4715" s="5">
        <v>41489</v>
      </c>
      <c r="D4715" s="5">
        <v>41549</v>
      </c>
      <c r="E4715" s="4" t="s">
        <v>5185</v>
      </c>
      <c r="F4715" s="4" t="s">
        <v>5185</v>
      </c>
    </row>
    <row r="4716" spans="1:6" x14ac:dyDescent="0.25">
      <c r="A4716" s="4" t="str">
        <f>CONCATENATE("3071-0000-9565","")</f>
        <v>3071-0000-9565</v>
      </c>
      <c r="B4716" s="4" t="s">
        <v>8400</v>
      </c>
      <c r="C4716" s="5">
        <v>41489</v>
      </c>
      <c r="D4716" s="5">
        <v>41549</v>
      </c>
      <c r="E4716" s="4" t="s">
        <v>1410</v>
      </c>
      <c r="F4716" s="4" t="s">
        <v>4459</v>
      </c>
    </row>
    <row r="4717" spans="1:6" x14ac:dyDescent="0.25">
      <c r="A4717" s="4" t="str">
        <f>CONCATENATE("3071-0000-2588","")</f>
        <v>3071-0000-2588</v>
      </c>
      <c r="B4717" s="4" t="s">
        <v>3248</v>
      </c>
      <c r="C4717" s="5">
        <v>41489</v>
      </c>
      <c r="D4717" s="5">
        <v>41549</v>
      </c>
      <c r="E4717" s="4" t="s">
        <v>2944</v>
      </c>
      <c r="F4717" s="4" t="s">
        <v>3164</v>
      </c>
    </row>
    <row r="4718" spans="1:6" x14ac:dyDescent="0.25">
      <c r="A4718" s="4" t="str">
        <f>CONCATENATE("3071-0000-1995","")</f>
        <v>3071-0000-1995</v>
      </c>
      <c r="B4718" s="4" t="s">
        <v>3142</v>
      </c>
      <c r="C4718" s="5">
        <v>41489</v>
      </c>
      <c r="D4718" s="5">
        <v>41549</v>
      </c>
      <c r="E4718" s="4" t="s">
        <v>2944</v>
      </c>
      <c r="F4718" s="4" t="s">
        <v>2945</v>
      </c>
    </row>
    <row r="4719" spans="1:6" x14ac:dyDescent="0.25">
      <c r="A4719" s="4" t="str">
        <f>CONCATENATE("3071-0000-2534","")</f>
        <v>3071-0000-2534</v>
      </c>
      <c r="B4719" s="4" t="s">
        <v>3150</v>
      </c>
      <c r="C4719" s="5">
        <v>41489</v>
      </c>
      <c r="D4719" s="5">
        <v>41549</v>
      </c>
      <c r="E4719" s="4" t="s">
        <v>2944</v>
      </c>
      <c r="F4719" s="4" t="s">
        <v>3115</v>
      </c>
    </row>
    <row r="4720" spans="1:6" x14ac:dyDescent="0.25">
      <c r="A4720" s="4" t="str">
        <f>CONCATENATE("3071-0000-0016","")</f>
        <v>3071-0000-0016</v>
      </c>
      <c r="B4720" s="4" t="s">
        <v>31</v>
      </c>
      <c r="C4720" s="5">
        <v>41489</v>
      </c>
      <c r="D4720" s="5">
        <v>41549</v>
      </c>
      <c r="E4720" s="4" t="s">
        <v>7</v>
      </c>
      <c r="F4720" s="4" t="s">
        <v>7</v>
      </c>
    </row>
    <row r="4721" spans="1:6" x14ac:dyDescent="0.25">
      <c r="A4721" s="4" t="str">
        <f>CONCATENATE("3071-0000-0621","")</f>
        <v>3071-0000-0621</v>
      </c>
      <c r="B4721" s="4" t="s">
        <v>773</v>
      </c>
      <c r="C4721" s="5">
        <v>41489</v>
      </c>
      <c r="D4721" s="5">
        <v>41549</v>
      </c>
      <c r="E4721" s="4" t="s">
        <v>7</v>
      </c>
      <c r="F4721" s="4" t="s">
        <v>7</v>
      </c>
    </row>
    <row r="4722" spans="1:6" x14ac:dyDescent="0.25">
      <c r="A4722" s="4" t="str">
        <f>CONCATENATE("3071-0000-0189","")</f>
        <v>3071-0000-0189</v>
      </c>
      <c r="B4722" s="4" t="s">
        <v>415</v>
      </c>
      <c r="C4722" s="5">
        <v>41489</v>
      </c>
      <c r="D4722" s="5">
        <v>41549</v>
      </c>
      <c r="E4722" s="4" t="s">
        <v>7</v>
      </c>
      <c r="F4722" s="4" t="s">
        <v>7</v>
      </c>
    </row>
    <row r="4723" spans="1:6" x14ac:dyDescent="0.25">
      <c r="A4723" s="4" t="str">
        <f>CONCATENATE("3071-0000-1093","")</f>
        <v>3071-0000-1093</v>
      </c>
      <c r="B4723" s="4" t="s">
        <v>2248</v>
      </c>
      <c r="C4723" s="5">
        <v>41489</v>
      </c>
      <c r="D4723" s="5">
        <v>41549</v>
      </c>
      <c r="E4723" s="4" t="s">
        <v>1381</v>
      </c>
      <c r="F4723" s="4" t="s">
        <v>2236</v>
      </c>
    </row>
    <row r="4724" spans="1:6" x14ac:dyDescent="0.25">
      <c r="A4724" s="4" t="str">
        <f>CONCATENATE("3071-0000-2981","")</f>
        <v>3071-0000-2981</v>
      </c>
      <c r="B4724" s="4" t="s">
        <v>1186</v>
      </c>
      <c r="C4724" s="5">
        <v>41489</v>
      </c>
      <c r="D4724" s="5">
        <v>41549</v>
      </c>
      <c r="E4724" s="4" t="s">
        <v>7</v>
      </c>
      <c r="F4724" s="4" t="s">
        <v>808</v>
      </c>
    </row>
    <row r="4725" spans="1:6" x14ac:dyDescent="0.25">
      <c r="A4725" s="4" t="str">
        <f>CONCATENATE("3071-0000-2850","")</f>
        <v>3071-0000-2850</v>
      </c>
      <c r="B4725" s="4" t="s">
        <v>1191</v>
      </c>
      <c r="C4725" s="5">
        <v>41489</v>
      </c>
      <c r="D4725" s="5">
        <v>41549</v>
      </c>
      <c r="E4725" s="4" t="s">
        <v>7</v>
      </c>
      <c r="F4725" s="4" t="s">
        <v>808</v>
      </c>
    </row>
    <row r="4726" spans="1:6" x14ac:dyDescent="0.25">
      <c r="A4726" s="4" t="str">
        <f>CONCATENATE("3071-0000-3811","")</f>
        <v>3071-0000-3811</v>
      </c>
      <c r="B4726" s="4" t="s">
        <v>3844</v>
      </c>
      <c r="C4726" s="5">
        <v>41489</v>
      </c>
      <c r="D4726" s="5">
        <v>41549</v>
      </c>
      <c r="E4726" s="4" t="s">
        <v>7</v>
      </c>
      <c r="F4726" s="4" t="s">
        <v>3818</v>
      </c>
    </row>
    <row r="4727" spans="1:6" x14ac:dyDescent="0.25">
      <c r="A4727" s="4" t="str">
        <f>CONCATENATE("3071-0000-3808","")</f>
        <v>3071-0000-3808</v>
      </c>
      <c r="B4727" s="4" t="s">
        <v>3839</v>
      </c>
      <c r="C4727" s="5">
        <v>41489</v>
      </c>
      <c r="D4727" s="5">
        <v>41549</v>
      </c>
      <c r="E4727" s="4" t="s">
        <v>7</v>
      </c>
      <c r="F4727" s="4" t="s">
        <v>3818</v>
      </c>
    </row>
    <row r="4728" spans="1:6" x14ac:dyDescent="0.25">
      <c r="A4728" s="4" t="str">
        <f>CONCATENATE("3071-0000-4094","")</f>
        <v>3071-0000-4094</v>
      </c>
      <c r="B4728" s="4" t="s">
        <v>3894</v>
      </c>
      <c r="C4728" s="5">
        <v>41489</v>
      </c>
      <c r="D4728" s="5">
        <v>41549</v>
      </c>
      <c r="E4728" s="4" t="s">
        <v>7</v>
      </c>
      <c r="F4728" s="4" t="s">
        <v>3818</v>
      </c>
    </row>
    <row r="4729" spans="1:6" x14ac:dyDescent="0.25">
      <c r="A4729" s="4" t="str">
        <f>CONCATENATE("3071-0000-4190","")</f>
        <v>3071-0000-4190</v>
      </c>
      <c r="B4729" s="4" t="s">
        <v>3863</v>
      </c>
      <c r="C4729" s="5">
        <v>41489</v>
      </c>
      <c r="D4729" s="5">
        <v>41549</v>
      </c>
      <c r="E4729" s="4" t="s">
        <v>7</v>
      </c>
      <c r="F4729" s="4" t="s">
        <v>3818</v>
      </c>
    </row>
    <row r="4730" spans="1:6" x14ac:dyDescent="0.25">
      <c r="A4730" s="4" t="str">
        <f>CONCATENATE("3071-0000-3074","")</f>
        <v>3071-0000-3074</v>
      </c>
      <c r="B4730" s="4" t="s">
        <v>1179</v>
      </c>
      <c r="C4730" s="5">
        <v>41489</v>
      </c>
      <c r="D4730" s="5">
        <v>41549</v>
      </c>
      <c r="E4730" s="4" t="s">
        <v>7</v>
      </c>
      <c r="F4730" s="4" t="s">
        <v>808</v>
      </c>
    </row>
    <row r="4731" spans="1:6" x14ac:dyDescent="0.25">
      <c r="A4731" s="4" t="str">
        <f>CONCATENATE("3071-0000-3304","")</f>
        <v>3071-0000-3304</v>
      </c>
      <c r="B4731" s="4" t="s">
        <v>1023</v>
      </c>
      <c r="C4731" s="5">
        <v>41489</v>
      </c>
      <c r="D4731" s="5">
        <v>41549</v>
      </c>
      <c r="E4731" s="4" t="s">
        <v>7</v>
      </c>
      <c r="F4731" s="4" t="s">
        <v>808</v>
      </c>
    </row>
    <row r="4732" spans="1:6" x14ac:dyDescent="0.25">
      <c r="A4732" s="4" t="str">
        <f>CONCATENATE("3071-0000-3212","")</f>
        <v>3071-0000-3212</v>
      </c>
      <c r="B4732" s="4" t="s">
        <v>964</v>
      </c>
      <c r="C4732" s="5">
        <v>41489</v>
      </c>
      <c r="D4732" s="5">
        <v>41549</v>
      </c>
      <c r="E4732" s="4" t="s">
        <v>7</v>
      </c>
      <c r="F4732" s="4" t="s">
        <v>808</v>
      </c>
    </row>
    <row r="4733" spans="1:6" x14ac:dyDescent="0.25">
      <c r="A4733" s="4" t="str">
        <f>CONCATENATE("3071-0000-7049","")</f>
        <v>3071-0000-7049</v>
      </c>
      <c r="B4733" s="4" t="s">
        <v>4816</v>
      </c>
      <c r="C4733" s="5">
        <v>41489</v>
      </c>
      <c r="D4733" s="5">
        <v>41549</v>
      </c>
      <c r="E4733" s="4" t="s">
        <v>1410</v>
      </c>
      <c r="F4733" s="4" t="s">
        <v>1410</v>
      </c>
    </row>
    <row r="4734" spans="1:6" x14ac:dyDescent="0.25">
      <c r="A4734" s="4" t="str">
        <f>CONCATENATE("3071-0000-7999","")</f>
        <v>3071-0000-7999</v>
      </c>
      <c r="B4734" s="4" t="s">
        <v>5385</v>
      </c>
      <c r="C4734" s="5">
        <v>41489</v>
      </c>
      <c r="D4734" s="5">
        <v>41549</v>
      </c>
      <c r="E4734" s="4" t="s">
        <v>5185</v>
      </c>
      <c r="F4734" s="4" t="s">
        <v>5185</v>
      </c>
    </row>
    <row r="4735" spans="1:6" x14ac:dyDescent="0.25">
      <c r="A4735" s="4" t="str">
        <f>CONCATENATE("3071-0000-5501","")</f>
        <v>3071-0000-5501</v>
      </c>
      <c r="B4735" s="4" t="s">
        <v>6643</v>
      </c>
      <c r="C4735" s="5">
        <v>41489</v>
      </c>
      <c r="D4735" s="5">
        <v>41549</v>
      </c>
      <c r="E4735" s="4" t="s">
        <v>1410</v>
      </c>
      <c r="F4735" s="4" t="s">
        <v>6635</v>
      </c>
    </row>
    <row r="4736" spans="1:6" x14ac:dyDescent="0.25">
      <c r="A4736" s="4" t="str">
        <f>CONCATENATE("3071-0000-9071","")</f>
        <v>3071-0000-9071</v>
      </c>
      <c r="B4736" s="4" t="s">
        <v>5353</v>
      </c>
      <c r="C4736" s="5">
        <v>41489</v>
      </c>
      <c r="D4736" s="5">
        <v>41549</v>
      </c>
      <c r="E4736" s="4" t="s">
        <v>5185</v>
      </c>
      <c r="F4736" s="4" t="s">
        <v>4188</v>
      </c>
    </row>
    <row r="4737" spans="1:6" x14ac:dyDescent="0.25">
      <c r="A4737" s="4" t="str">
        <f>CONCATENATE("3071-0000-7701","")</f>
        <v>3071-0000-7701</v>
      </c>
      <c r="B4737" s="4" t="s">
        <v>5079</v>
      </c>
      <c r="C4737" s="5">
        <v>41489</v>
      </c>
      <c r="D4737" s="5">
        <v>41549</v>
      </c>
      <c r="E4737" s="4" t="s">
        <v>1410</v>
      </c>
      <c r="F4737" s="4" t="s">
        <v>4616</v>
      </c>
    </row>
    <row r="4738" spans="1:6" x14ac:dyDescent="0.25">
      <c r="A4738" s="4" t="str">
        <f>CONCATENATE("3071-0000-9072","")</f>
        <v>3071-0000-9072</v>
      </c>
      <c r="B4738" s="4" t="s">
        <v>5352</v>
      </c>
      <c r="C4738" s="5">
        <v>41489</v>
      </c>
      <c r="D4738" s="5">
        <v>41549</v>
      </c>
      <c r="E4738" s="4" t="s">
        <v>5185</v>
      </c>
      <c r="F4738" s="4" t="s">
        <v>4188</v>
      </c>
    </row>
    <row r="4739" spans="1:6" x14ac:dyDescent="0.25">
      <c r="A4739" s="4" t="str">
        <f>CONCATENATE("3071-0000-5410","")</f>
        <v>3071-0000-5410</v>
      </c>
      <c r="B4739" s="4" t="s">
        <v>6632</v>
      </c>
      <c r="C4739" s="5">
        <v>41489</v>
      </c>
      <c r="D4739" s="5">
        <v>41549</v>
      </c>
      <c r="E4739" s="4" t="s">
        <v>5185</v>
      </c>
      <c r="F4739" s="4" t="s">
        <v>5185</v>
      </c>
    </row>
    <row r="4740" spans="1:6" x14ac:dyDescent="0.25">
      <c r="A4740" s="4" t="str">
        <f>CONCATENATE("3071-0000-8979","")</f>
        <v>3071-0000-8979</v>
      </c>
      <c r="B4740" s="4" t="s">
        <v>5908</v>
      </c>
      <c r="C4740" s="5">
        <v>41489</v>
      </c>
      <c r="D4740" s="5">
        <v>41549</v>
      </c>
      <c r="E4740" s="4" t="s">
        <v>5185</v>
      </c>
      <c r="F4740" s="4" t="s">
        <v>4188</v>
      </c>
    </row>
    <row r="4741" spans="1:6" x14ac:dyDescent="0.25">
      <c r="A4741" s="4" t="str">
        <f>CONCATENATE("3071-0000-9081","")</f>
        <v>3071-0000-9081</v>
      </c>
      <c r="B4741" s="4" t="s">
        <v>5315</v>
      </c>
      <c r="C4741" s="5">
        <v>41489</v>
      </c>
      <c r="D4741" s="5">
        <v>41549</v>
      </c>
      <c r="E4741" s="4" t="s">
        <v>1410</v>
      </c>
      <c r="F4741" s="4" t="s">
        <v>4616</v>
      </c>
    </row>
    <row r="4742" spans="1:6" x14ac:dyDescent="0.25">
      <c r="A4742" s="4" t="str">
        <f>CONCATENATE("3071-0000-8730","")</f>
        <v>3071-0000-8730</v>
      </c>
      <c r="B4742" s="4" t="s">
        <v>6542</v>
      </c>
      <c r="C4742" s="5">
        <v>41489</v>
      </c>
      <c r="D4742" s="5">
        <v>41549</v>
      </c>
      <c r="E4742" s="4" t="s">
        <v>5185</v>
      </c>
      <c r="F4742" s="4" t="s">
        <v>5292</v>
      </c>
    </row>
    <row r="4743" spans="1:6" x14ac:dyDescent="0.25">
      <c r="A4743" s="4" t="str">
        <f>CONCATENATE("3071-0000-3208","")</f>
        <v>3071-0000-3208</v>
      </c>
      <c r="B4743" s="4" t="s">
        <v>1353</v>
      </c>
      <c r="C4743" s="5">
        <v>41489</v>
      </c>
      <c r="D4743" s="5">
        <v>41549</v>
      </c>
      <c r="E4743" s="4" t="s">
        <v>7</v>
      </c>
      <c r="F4743" s="4" t="s">
        <v>982</v>
      </c>
    </row>
    <row r="4744" spans="1:6" x14ac:dyDescent="0.25">
      <c r="A4744" s="4" t="str">
        <f>CONCATENATE("3071-0000-4134","")</f>
        <v>3071-0000-4134</v>
      </c>
      <c r="B4744" s="4" t="s">
        <v>4251</v>
      </c>
      <c r="C4744" s="5">
        <v>41489</v>
      </c>
      <c r="D4744" s="5">
        <v>41549</v>
      </c>
      <c r="E4744" s="4" t="s">
        <v>7</v>
      </c>
      <c r="F4744" s="4" t="s">
        <v>1419</v>
      </c>
    </row>
    <row r="4745" spans="1:6" x14ac:dyDescent="0.25">
      <c r="A4745" s="4" t="str">
        <f>CONCATENATE("3071-0000-6036","")</f>
        <v>3071-0000-6036</v>
      </c>
      <c r="B4745" s="4" t="s">
        <v>7228</v>
      </c>
      <c r="C4745" s="5">
        <v>41489</v>
      </c>
      <c r="D4745" s="5">
        <v>41549</v>
      </c>
      <c r="E4745" s="4" t="s">
        <v>7069</v>
      </c>
      <c r="F4745" s="4" t="s">
        <v>7183</v>
      </c>
    </row>
    <row r="4746" spans="1:6" x14ac:dyDescent="0.25">
      <c r="A4746" s="4" t="str">
        <f>CONCATENATE("3071-0000-8807","")</f>
        <v>3071-0000-8807</v>
      </c>
      <c r="B4746" s="4" t="s">
        <v>6513</v>
      </c>
      <c r="C4746" s="5">
        <v>41489</v>
      </c>
      <c r="D4746" s="5">
        <v>41549</v>
      </c>
      <c r="E4746" s="4" t="s">
        <v>5185</v>
      </c>
      <c r="F4746" s="4" t="s">
        <v>5292</v>
      </c>
    </row>
    <row r="4747" spans="1:6" x14ac:dyDescent="0.25">
      <c r="A4747" s="4" t="str">
        <f>CONCATENATE("3071-0000-6029","")</f>
        <v>3071-0000-6029</v>
      </c>
      <c r="B4747" s="4" t="s">
        <v>7187</v>
      </c>
      <c r="C4747" s="5">
        <v>41489</v>
      </c>
      <c r="D4747" s="5">
        <v>41549</v>
      </c>
      <c r="E4747" s="4" t="s">
        <v>7069</v>
      </c>
      <c r="F4747" s="4" t="s">
        <v>7183</v>
      </c>
    </row>
    <row r="4748" spans="1:6" x14ac:dyDescent="0.25">
      <c r="A4748" s="4" t="str">
        <f>CONCATENATE("3071-0000-8816","")</f>
        <v>3071-0000-8816</v>
      </c>
      <c r="B4748" s="4" t="s">
        <v>6551</v>
      </c>
      <c r="C4748" s="5">
        <v>41489</v>
      </c>
      <c r="D4748" s="5">
        <v>41549</v>
      </c>
      <c r="E4748" s="4" t="s">
        <v>5185</v>
      </c>
      <c r="F4748" s="4" t="s">
        <v>5292</v>
      </c>
    </row>
    <row r="4749" spans="1:6" x14ac:dyDescent="0.25">
      <c r="A4749" s="4" t="str">
        <f>CONCATENATE("3071-0000-8527","")</f>
        <v>3071-0000-8527</v>
      </c>
      <c r="B4749" s="4" t="s">
        <v>5654</v>
      </c>
      <c r="C4749" s="5">
        <v>41489</v>
      </c>
      <c r="D4749" s="5">
        <v>41549</v>
      </c>
      <c r="E4749" s="4" t="s">
        <v>5185</v>
      </c>
      <c r="F4749" s="4" t="s">
        <v>5250</v>
      </c>
    </row>
    <row r="4750" spans="1:6" x14ac:dyDescent="0.25">
      <c r="A4750" s="4" t="str">
        <f>CONCATENATE("3071-0000-3106","")</f>
        <v>3071-0000-3106</v>
      </c>
      <c r="B4750" s="4" t="s">
        <v>1404</v>
      </c>
      <c r="C4750" s="5">
        <v>41489</v>
      </c>
      <c r="D4750" s="5">
        <v>41549</v>
      </c>
      <c r="E4750" s="4" t="s">
        <v>7</v>
      </c>
      <c r="F4750" s="4" t="s">
        <v>808</v>
      </c>
    </row>
    <row r="4751" spans="1:6" x14ac:dyDescent="0.25">
      <c r="A4751" s="4" t="str">
        <f>CONCATENATE("3071-0000-3825","")</f>
        <v>3071-0000-3825</v>
      </c>
      <c r="B4751" s="4" t="s">
        <v>3876</v>
      </c>
      <c r="C4751" s="5">
        <v>41489</v>
      </c>
      <c r="D4751" s="5">
        <v>41549</v>
      </c>
      <c r="E4751" s="4" t="s">
        <v>2944</v>
      </c>
      <c r="F4751" s="4" t="s">
        <v>3513</v>
      </c>
    </row>
    <row r="4752" spans="1:6" x14ac:dyDescent="0.25">
      <c r="A4752" s="4" t="str">
        <f>CONCATENATE("3071-0000-3836","")</f>
        <v>3071-0000-3836</v>
      </c>
      <c r="B4752" s="4" t="s">
        <v>3887</v>
      </c>
      <c r="C4752" s="5">
        <v>41489</v>
      </c>
      <c r="D4752" s="5">
        <v>41549</v>
      </c>
      <c r="E4752" s="4" t="s">
        <v>2944</v>
      </c>
      <c r="F4752" s="4" t="s">
        <v>3513</v>
      </c>
    </row>
    <row r="4753" spans="1:6" x14ac:dyDescent="0.25">
      <c r="A4753" s="4" t="str">
        <f>CONCATENATE("3071-0000-0306","")</f>
        <v>3071-0000-0306</v>
      </c>
      <c r="B4753" s="4" t="s">
        <v>47</v>
      </c>
      <c r="C4753" s="5">
        <v>41489</v>
      </c>
      <c r="D4753" s="5">
        <v>41549</v>
      </c>
      <c r="E4753" s="4" t="s">
        <v>7</v>
      </c>
      <c r="F4753" s="4" t="s">
        <v>7</v>
      </c>
    </row>
    <row r="4754" spans="1:6" x14ac:dyDescent="0.25">
      <c r="A4754" s="4" t="str">
        <f>CONCATENATE("3071-0000-0598","")</f>
        <v>3071-0000-0598</v>
      </c>
      <c r="B4754" s="4" t="s">
        <v>444</v>
      </c>
      <c r="C4754" s="5">
        <v>41489</v>
      </c>
      <c r="D4754" s="5">
        <v>41549</v>
      </c>
      <c r="E4754" s="4" t="s">
        <v>7</v>
      </c>
      <c r="F4754" s="4" t="s">
        <v>7</v>
      </c>
    </row>
    <row r="4755" spans="1:6" x14ac:dyDescent="0.25">
      <c r="A4755" s="4" t="str">
        <f>CONCATENATE("3071-0000-0544","")</f>
        <v>3071-0000-0544</v>
      </c>
      <c r="B4755" s="4" t="s">
        <v>732</v>
      </c>
      <c r="C4755" s="5">
        <v>41489</v>
      </c>
      <c r="D4755" s="5">
        <v>41549</v>
      </c>
      <c r="E4755" s="4" t="s">
        <v>7</v>
      </c>
      <c r="F4755" s="4" t="s">
        <v>7</v>
      </c>
    </row>
    <row r="4756" spans="1:6" x14ac:dyDescent="0.25">
      <c r="A4756" s="4" t="str">
        <f>CONCATENATE("3071-0000-6472","")</f>
        <v>3071-0000-6472</v>
      </c>
      <c r="B4756" s="4" t="s">
        <v>8109</v>
      </c>
      <c r="C4756" s="5">
        <v>41489</v>
      </c>
      <c r="D4756" s="5">
        <v>41549</v>
      </c>
      <c r="E4756" s="4" t="s">
        <v>5185</v>
      </c>
      <c r="F4756" s="4" t="s">
        <v>5185</v>
      </c>
    </row>
    <row r="4757" spans="1:6" x14ac:dyDescent="0.25">
      <c r="A4757" s="4" t="str">
        <f>CONCATENATE("3071-0000-0688","")</f>
        <v>3071-0000-0688</v>
      </c>
      <c r="B4757" s="4" t="s">
        <v>293</v>
      </c>
      <c r="C4757" s="5">
        <v>41489</v>
      </c>
      <c r="D4757" s="5">
        <v>41549</v>
      </c>
      <c r="E4757" s="4" t="s">
        <v>7</v>
      </c>
      <c r="F4757" s="4" t="s">
        <v>273</v>
      </c>
    </row>
    <row r="4758" spans="1:6" x14ac:dyDescent="0.25">
      <c r="A4758" s="4" t="str">
        <f>CONCATENATE("3071-0000-3120","")</f>
        <v>3071-0000-3120</v>
      </c>
      <c r="B4758" s="4" t="s">
        <v>1243</v>
      </c>
      <c r="C4758" s="5">
        <v>41489</v>
      </c>
      <c r="D4758" s="5">
        <v>41549</v>
      </c>
      <c r="E4758" s="4" t="s">
        <v>7</v>
      </c>
      <c r="F4758" s="4" t="s">
        <v>808</v>
      </c>
    </row>
    <row r="4759" spans="1:6" x14ac:dyDescent="0.25">
      <c r="A4759" s="4" t="str">
        <f>CONCATENATE("3071-0000-3141","")</f>
        <v>3071-0000-3141</v>
      </c>
      <c r="B4759" s="4" t="s">
        <v>1276</v>
      </c>
      <c r="C4759" s="5">
        <v>41489</v>
      </c>
      <c r="D4759" s="5">
        <v>41549</v>
      </c>
      <c r="E4759" s="4" t="s">
        <v>7</v>
      </c>
      <c r="F4759" s="4" t="s">
        <v>808</v>
      </c>
    </row>
    <row r="4760" spans="1:6" x14ac:dyDescent="0.25">
      <c r="A4760" s="4" t="str">
        <f>CONCATENATE("3071-0000-2398","")</f>
        <v>3071-0000-2398</v>
      </c>
      <c r="B4760" s="4" t="s">
        <v>3223</v>
      </c>
      <c r="C4760" s="5">
        <v>41489</v>
      </c>
      <c r="D4760" s="5">
        <v>41549</v>
      </c>
      <c r="E4760" s="4" t="s">
        <v>2944</v>
      </c>
      <c r="F4760" s="4" t="s">
        <v>3164</v>
      </c>
    </row>
    <row r="4761" spans="1:6" x14ac:dyDescent="0.25">
      <c r="A4761" s="4" t="str">
        <f>CONCATENATE("3071-0000-9247","")</f>
        <v>3071-0000-9247</v>
      </c>
      <c r="B4761" s="4" t="s">
        <v>8318</v>
      </c>
      <c r="C4761" s="5">
        <v>41489</v>
      </c>
      <c r="D4761" s="5">
        <v>41549</v>
      </c>
      <c r="E4761" s="4" t="s">
        <v>5185</v>
      </c>
      <c r="F4761" s="4" t="s">
        <v>5185</v>
      </c>
    </row>
    <row r="4762" spans="1:6" x14ac:dyDescent="0.25">
      <c r="A4762" s="4" t="str">
        <f>CONCATENATE("3071-0000-9330","")</f>
        <v>3071-0000-9330</v>
      </c>
      <c r="B4762" s="4" t="s">
        <v>8604</v>
      </c>
      <c r="C4762" s="5">
        <v>41489</v>
      </c>
      <c r="D4762" s="5">
        <v>41549</v>
      </c>
      <c r="E4762" s="4" t="s">
        <v>1410</v>
      </c>
      <c r="F4762" s="4" t="s">
        <v>4459</v>
      </c>
    </row>
    <row r="4763" spans="1:6" x14ac:dyDescent="0.25">
      <c r="A4763" s="4" t="str">
        <f>CONCATENATE("3071-0000-4554","")</f>
        <v>3071-0000-4554</v>
      </c>
      <c r="B4763" s="4" t="s">
        <v>9080</v>
      </c>
      <c r="C4763" s="5">
        <v>41489</v>
      </c>
      <c r="D4763" s="5">
        <v>41549</v>
      </c>
      <c r="E4763" s="4" t="s">
        <v>1410</v>
      </c>
      <c r="F4763" s="4" t="s">
        <v>8696</v>
      </c>
    </row>
    <row r="4764" spans="1:6" x14ac:dyDescent="0.25">
      <c r="A4764" s="4" t="str">
        <f>CONCATENATE("3071-0000-4536","")</f>
        <v>3071-0000-4536</v>
      </c>
      <c r="B4764" s="4" t="s">
        <v>9060</v>
      </c>
      <c r="C4764" s="5">
        <v>41489</v>
      </c>
      <c r="D4764" s="5">
        <v>41549</v>
      </c>
      <c r="E4764" s="4" t="s">
        <v>1410</v>
      </c>
      <c r="F4764" s="4" t="s">
        <v>8696</v>
      </c>
    </row>
    <row r="4765" spans="1:6" x14ac:dyDescent="0.25">
      <c r="A4765" s="4" t="str">
        <f>CONCATENATE("3071-0000-3968","")</f>
        <v>3071-0000-3968</v>
      </c>
      <c r="B4765" s="4" t="s">
        <v>4068</v>
      </c>
      <c r="C4765" s="5">
        <v>41489</v>
      </c>
      <c r="D4765" s="5">
        <v>41549</v>
      </c>
      <c r="E4765" s="4" t="s">
        <v>1381</v>
      </c>
      <c r="F4765" s="4" t="s">
        <v>4057</v>
      </c>
    </row>
    <row r="4766" spans="1:6" x14ac:dyDescent="0.25">
      <c r="A4766" s="4" t="str">
        <f>CONCATENATE("3071-0000-0779","")</f>
        <v>3071-0000-0779</v>
      </c>
      <c r="B4766" s="4" t="s">
        <v>579</v>
      </c>
      <c r="C4766" s="5">
        <v>41489</v>
      </c>
      <c r="D4766" s="5">
        <v>41549</v>
      </c>
      <c r="E4766" s="4" t="s">
        <v>7</v>
      </c>
      <c r="F4766" s="4" t="s">
        <v>273</v>
      </c>
    </row>
    <row r="4767" spans="1:6" x14ac:dyDescent="0.25">
      <c r="A4767" s="4" t="str">
        <f>CONCATENATE("3071-0000-3666","")</f>
        <v>3071-0000-3666</v>
      </c>
      <c r="B4767" s="4" t="s">
        <v>1674</v>
      </c>
      <c r="C4767" s="5">
        <v>41489</v>
      </c>
      <c r="D4767" s="5">
        <v>41549</v>
      </c>
      <c r="E4767" s="4" t="s">
        <v>1410</v>
      </c>
      <c r="F4767" s="4" t="s">
        <v>1601</v>
      </c>
    </row>
    <row r="4768" spans="1:6" x14ac:dyDescent="0.25">
      <c r="A4768" s="4" t="str">
        <f>CONCATENATE("3071-0000-8148","")</f>
        <v>3071-0000-8148</v>
      </c>
      <c r="B4768" s="4" t="s">
        <v>5408</v>
      </c>
      <c r="C4768" s="5">
        <v>41489</v>
      </c>
      <c r="D4768" s="5">
        <v>41549</v>
      </c>
      <c r="E4768" s="4" t="s">
        <v>5185</v>
      </c>
      <c r="F4768" s="4" t="s">
        <v>5185</v>
      </c>
    </row>
    <row r="4769" spans="1:6" x14ac:dyDescent="0.25">
      <c r="A4769" s="4" t="str">
        <f>CONCATENATE("3071-0000-8376","")</f>
        <v>3071-0000-8376</v>
      </c>
      <c r="B4769" s="4" t="s">
        <v>5429</v>
      </c>
      <c r="C4769" s="5">
        <v>41489</v>
      </c>
      <c r="D4769" s="5">
        <v>41549</v>
      </c>
      <c r="E4769" s="4" t="s">
        <v>5185</v>
      </c>
      <c r="F4769" s="4" t="s">
        <v>5185</v>
      </c>
    </row>
    <row r="4770" spans="1:6" x14ac:dyDescent="0.25">
      <c r="A4770" s="4" t="str">
        <f>CONCATENATE("3071-0000-5193","")</f>
        <v>3071-0000-5193</v>
      </c>
      <c r="B4770" s="4" t="s">
        <v>8779</v>
      </c>
      <c r="C4770" s="5">
        <v>41489</v>
      </c>
      <c r="D4770" s="5">
        <v>41549</v>
      </c>
      <c r="E4770" s="4" t="s">
        <v>1410</v>
      </c>
      <c r="F4770" s="4" t="s">
        <v>8696</v>
      </c>
    </row>
    <row r="4771" spans="1:6" x14ac:dyDescent="0.25">
      <c r="A4771" s="4" t="str">
        <f>CONCATENATE("3071-0000-5203","")</f>
        <v>3071-0000-5203</v>
      </c>
      <c r="B4771" s="4" t="s">
        <v>8735</v>
      </c>
      <c r="C4771" s="5">
        <v>41489</v>
      </c>
      <c r="D4771" s="5">
        <v>41549</v>
      </c>
      <c r="E4771" s="4" t="s">
        <v>1410</v>
      </c>
      <c r="F4771" s="4" t="s">
        <v>8696</v>
      </c>
    </row>
    <row r="4772" spans="1:6" x14ac:dyDescent="0.25">
      <c r="A4772" s="4" t="str">
        <f>CONCATENATE("3071-0000-4334","")</f>
        <v>3071-0000-4334</v>
      </c>
      <c r="B4772" s="4" t="s">
        <v>8775</v>
      </c>
      <c r="C4772" s="5">
        <v>41489</v>
      </c>
      <c r="D4772" s="5">
        <v>41549</v>
      </c>
      <c r="E4772" s="4" t="s">
        <v>1410</v>
      </c>
      <c r="F4772" s="4" t="s">
        <v>8696</v>
      </c>
    </row>
    <row r="4773" spans="1:6" x14ac:dyDescent="0.25">
      <c r="A4773" s="4" t="str">
        <f>CONCATENATE("3071-0000-4355","")</f>
        <v>3071-0000-4355</v>
      </c>
      <c r="B4773" s="4" t="s">
        <v>9056</v>
      </c>
      <c r="C4773" s="5">
        <v>41489</v>
      </c>
      <c r="D4773" s="5">
        <v>41549</v>
      </c>
      <c r="E4773" s="4" t="s">
        <v>1410</v>
      </c>
      <c r="F4773" s="4" t="s">
        <v>8696</v>
      </c>
    </row>
    <row r="4774" spans="1:6" x14ac:dyDescent="0.25">
      <c r="A4774" s="4" t="str">
        <f>CONCATENATE("3071-0000-4846","")</f>
        <v>3071-0000-4846</v>
      </c>
      <c r="B4774" s="4" t="s">
        <v>8841</v>
      </c>
      <c r="C4774" s="5">
        <v>41489</v>
      </c>
      <c r="D4774" s="5">
        <v>41549</v>
      </c>
      <c r="E4774" s="4" t="s">
        <v>1410</v>
      </c>
      <c r="F4774" s="4" t="s">
        <v>8696</v>
      </c>
    </row>
    <row r="4775" spans="1:6" x14ac:dyDescent="0.25">
      <c r="A4775" s="4" t="str">
        <f>CONCATENATE("3071-0000-4256","")</f>
        <v>3071-0000-4256</v>
      </c>
      <c r="B4775" s="4" t="s">
        <v>8830</v>
      </c>
      <c r="C4775" s="5">
        <v>41489</v>
      </c>
      <c r="D4775" s="5">
        <v>41549</v>
      </c>
      <c r="E4775" s="4" t="s">
        <v>1410</v>
      </c>
      <c r="F4775" s="4" t="s">
        <v>8696</v>
      </c>
    </row>
    <row r="4776" spans="1:6" x14ac:dyDescent="0.25">
      <c r="A4776" s="4" t="str">
        <f>CONCATENATE("3071-0000-7030","")</f>
        <v>3071-0000-7030</v>
      </c>
      <c r="B4776" s="4" t="s">
        <v>4825</v>
      </c>
      <c r="C4776" s="5">
        <v>41489</v>
      </c>
      <c r="D4776" s="5">
        <v>41549</v>
      </c>
      <c r="E4776" s="4" t="s">
        <v>1410</v>
      </c>
      <c r="F4776" s="4" t="s">
        <v>1410</v>
      </c>
    </row>
    <row r="4777" spans="1:6" x14ac:dyDescent="0.25">
      <c r="A4777" s="4" t="str">
        <f>CONCATENATE("3071-0000-4331","")</f>
        <v>3071-0000-4331</v>
      </c>
      <c r="B4777" s="4" t="s">
        <v>8772</v>
      </c>
      <c r="C4777" s="5">
        <v>41489</v>
      </c>
      <c r="D4777" s="5">
        <v>41549</v>
      </c>
      <c r="E4777" s="4" t="s">
        <v>1410</v>
      </c>
      <c r="F4777" s="4" t="s">
        <v>8696</v>
      </c>
    </row>
    <row r="4778" spans="1:6" x14ac:dyDescent="0.25">
      <c r="A4778" s="4" t="str">
        <f>CONCATENATE("3071-0000-6865","")</f>
        <v>3071-0000-6865</v>
      </c>
      <c r="B4778" s="4" t="s">
        <v>4433</v>
      </c>
      <c r="C4778" s="5">
        <v>41489</v>
      </c>
      <c r="D4778" s="5">
        <v>41549</v>
      </c>
      <c r="E4778" s="4" t="s">
        <v>1410</v>
      </c>
      <c r="F4778" s="4" t="s">
        <v>1410</v>
      </c>
    </row>
    <row r="4779" spans="1:6" x14ac:dyDescent="0.25">
      <c r="A4779" s="4" t="str">
        <f>CONCATENATE("3071-0000-9272","")</f>
        <v>3071-0000-9272</v>
      </c>
      <c r="B4779" s="4" t="s">
        <v>8550</v>
      </c>
      <c r="C4779" s="5">
        <v>41489</v>
      </c>
      <c r="D4779" s="5">
        <v>41549</v>
      </c>
      <c r="E4779" s="4" t="s">
        <v>5185</v>
      </c>
      <c r="F4779" s="4" t="s">
        <v>5185</v>
      </c>
    </row>
    <row r="4780" spans="1:6" x14ac:dyDescent="0.25">
      <c r="A4780" s="4" t="str">
        <f>CONCATENATE("3071-0000-3300","")</f>
        <v>3071-0000-3300</v>
      </c>
      <c r="B4780" s="4" t="s">
        <v>1357</v>
      </c>
      <c r="C4780" s="5">
        <v>41489</v>
      </c>
      <c r="D4780" s="5">
        <v>41549</v>
      </c>
      <c r="E4780" s="4" t="s">
        <v>7</v>
      </c>
      <c r="F4780" s="4" t="s">
        <v>982</v>
      </c>
    </row>
    <row r="4781" spans="1:6" x14ac:dyDescent="0.25">
      <c r="A4781" s="4" t="str">
        <f>CONCATENATE("3071-0000-0069","")</f>
        <v>3071-0000-0069</v>
      </c>
      <c r="B4781" s="4" t="s">
        <v>136</v>
      </c>
      <c r="C4781" s="5">
        <v>41489</v>
      </c>
      <c r="D4781" s="5">
        <v>41549</v>
      </c>
      <c r="E4781" s="4" t="s">
        <v>7</v>
      </c>
      <c r="F4781" s="4" t="s">
        <v>7</v>
      </c>
    </row>
    <row r="4782" spans="1:6" x14ac:dyDescent="0.25">
      <c r="A4782" s="4" t="str">
        <f>CONCATENATE("3071-0000-0657","")</f>
        <v>3071-0000-0657</v>
      </c>
      <c r="B4782" s="4" t="s">
        <v>784</v>
      </c>
      <c r="C4782" s="5">
        <v>41489</v>
      </c>
      <c r="D4782" s="5">
        <v>41549</v>
      </c>
      <c r="E4782" s="4" t="s">
        <v>7</v>
      </c>
      <c r="F4782" s="4" t="s">
        <v>7</v>
      </c>
    </row>
    <row r="4783" spans="1:6" x14ac:dyDescent="0.25">
      <c r="A4783" s="4" t="str">
        <f>CONCATENATE("3071-0000-9614","")</f>
        <v>3071-0000-9614</v>
      </c>
      <c r="B4783" s="4" t="s">
        <v>8446</v>
      </c>
      <c r="C4783" s="5">
        <v>41489</v>
      </c>
      <c r="D4783" s="5">
        <v>41549</v>
      </c>
      <c r="E4783" s="4" t="s">
        <v>1410</v>
      </c>
      <c r="F4783" s="4" t="s">
        <v>4459</v>
      </c>
    </row>
    <row r="4784" spans="1:6" x14ac:dyDescent="0.25">
      <c r="A4784" s="4" t="str">
        <f>CONCATENATE("3071-0000-8689","")</f>
        <v>3071-0000-8689</v>
      </c>
      <c r="B4784" s="4" t="s">
        <v>6467</v>
      </c>
      <c r="C4784" s="5">
        <v>41489</v>
      </c>
      <c r="D4784" s="5">
        <v>41549</v>
      </c>
      <c r="E4784" s="4" t="s">
        <v>5185</v>
      </c>
      <c r="F4784" s="4" t="s">
        <v>5292</v>
      </c>
    </row>
    <row r="4785" spans="1:6" x14ac:dyDescent="0.25">
      <c r="A4785" s="4" t="str">
        <f>CONCATENATE("3071-0000-8919","")</f>
        <v>3071-0000-8919</v>
      </c>
      <c r="B4785" s="4" t="s">
        <v>5348</v>
      </c>
      <c r="C4785" s="5">
        <v>41489</v>
      </c>
      <c r="D4785" s="5">
        <v>41549</v>
      </c>
      <c r="E4785" s="4" t="s">
        <v>1410</v>
      </c>
      <c r="F4785" s="4" t="s">
        <v>4616</v>
      </c>
    </row>
    <row r="4786" spans="1:6" x14ac:dyDescent="0.25">
      <c r="A4786" s="4" t="str">
        <f>CONCATENATE("3071-0000-5712","")</f>
        <v>3071-0000-5712</v>
      </c>
      <c r="B4786" s="4" t="s">
        <v>6959</v>
      </c>
      <c r="C4786" s="5">
        <v>41489</v>
      </c>
      <c r="D4786" s="5">
        <v>41549</v>
      </c>
      <c r="E4786" s="4" t="s">
        <v>5185</v>
      </c>
      <c r="F4786" s="4" t="s">
        <v>5185</v>
      </c>
    </row>
    <row r="4787" spans="1:6" x14ac:dyDescent="0.25">
      <c r="A4787" s="4" t="str">
        <f>CONCATENATE("3071-0000-9182","")</f>
        <v>3071-0000-9182</v>
      </c>
      <c r="B4787" s="4" t="s">
        <v>6177</v>
      </c>
      <c r="C4787" s="5">
        <v>41489</v>
      </c>
      <c r="D4787" s="5">
        <v>41549</v>
      </c>
      <c r="E4787" s="4" t="s">
        <v>5185</v>
      </c>
      <c r="F4787" s="4" t="s">
        <v>5945</v>
      </c>
    </row>
    <row r="4788" spans="1:6" x14ac:dyDescent="0.25">
      <c r="A4788" s="4" t="str">
        <f>CONCATENATE("3071-0000-8998","")</f>
        <v>3071-0000-8998</v>
      </c>
      <c r="B4788" s="4" t="s">
        <v>6302</v>
      </c>
      <c r="C4788" s="5">
        <v>41489</v>
      </c>
      <c r="D4788" s="5">
        <v>41549</v>
      </c>
      <c r="E4788" s="4" t="s">
        <v>5185</v>
      </c>
      <c r="F4788" s="4" t="s">
        <v>5292</v>
      </c>
    </row>
    <row r="4789" spans="1:6" x14ac:dyDescent="0.25">
      <c r="A4789" s="4" t="str">
        <f>CONCATENATE("3071-0000-9266","")</f>
        <v>3071-0000-9266</v>
      </c>
      <c r="B4789" s="4" t="s">
        <v>8540</v>
      </c>
      <c r="C4789" s="5">
        <v>41489</v>
      </c>
      <c r="D4789" s="5">
        <v>41549</v>
      </c>
      <c r="E4789" s="4" t="s">
        <v>5185</v>
      </c>
      <c r="F4789" s="4" t="s">
        <v>5185</v>
      </c>
    </row>
    <row r="4790" spans="1:6" x14ac:dyDescent="0.25">
      <c r="A4790" s="4" t="str">
        <f>CONCATENATE("3071-0000-6799","")</f>
        <v>3071-0000-6799</v>
      </c>
      <c r="B4790" s="4" t="s">
        <v>8251</v>
      </c>
      <c r="C4790" s="5">
        <v>41489</v>
      </c>
      <c r="D4790" s="5">
        <v>41549</v>
      </c>
      <c r="E4790" s="4" t="s">
        <v>1410</v>
      </c>
      <c r="F4790" s="4" t="s">
        <v>8192</v>
      </c>
    </row>
    <row r="4791" spans="1:6" x14ac:dyDescent="0.25">
      <c r="A4791" s="4" t="str">
        <f>CONCATENATE("3071-0000-8983","")</f>
        <v>3071-0000-8983</v>
      </c>
      <c r="B4791" s="4" t="s">
        <v>5329</v>
      </c>
      <c r="C4791" s="5">
        <v>41489</v>
      </c>
      <c r="D4791" s="5">
        <v>41549</v>
      </c>
      <c r="E4791" s="4" t="s">
        <v>1410</v>
      </c>
      <c r="F4791" s="4" t="s">
        <v>4616</v>
      </c>
    </row>
    <row r="4792" spans="1:6" x14ac:dyDescent="0.25">
      <c r="A4792" s="4" t="str">
        <f>CONCATENATE("3071-0000-5723","")</f>
        <v>3071-0000-5723</v>
      </c>
      <c r="B4792" s="4" t="s">
        <v>6964</v>
      </c>
      <c r="C4792" s="5">
        <v>41489</v>
      </c>
      <c r="D4792" s="5">
        <v>41549</v>
      </c>
      <c r="E4792" s="4" t="s">
        <v>5185</v>
      </c>
      <c r="F4792" s="4" t="s">
        <v>5185</v>
      </c>
    </row>
    <row r="4793" spans="1:6" x14ac:dyDescent="0.25">
      <c r="A4793" s="4" t="str">
        <f>CONCATENATE("3071-0000-3298","")</f>
        <v>3071-0000-3298</v>
      </c>
      <c r="B4793" s="4" t="s">
        <v>1174</v>
      </c>
      <c r="C4793" s="5">
        <v>41489</v>
      </c>
      <c r="D4793" s="5">
        <v>41549</v>
      </c>
      <c r="E4793" s="4" t="s">
        <v>7</v>
      </c>
      <c r="F4793" s="4" t="s">
        <v>808</v>
      </c>
    </row>
    <row r="4794" spans="1:6" x14ac:dyDescent="0.25">
      <c r="A4794" s="4" t="str">
        <f>CONCATENATE("3071-0000-8733","")</f>
        <v>3071-0000-8733</v>
      </c>
      <c r="B4794" s="4" t="s">
        <v>6526</v>
      </c>
      <c r="C4794" s="5">
        <v>41489</v>
      </c>
      <c r="D4794" s="5">
        <v>41549</v>
      </c>
      <c r="E4794" s="4" t="s">
        <v>5185</v>
      </c>
      <c r="F4794" s="4" t="s">
        <v>5292</v>
      </c>
    </row>
    <row r="4795" spans="1:6" x14ac:dyDescent="0.25">
      <c r="A4795" s="4" t="str">
        <f>CONCATENATE("3071-0000-8741","")</f>
        <v>3071-0000-8741</v>
      </c>
      <c r="B4795" s="4" t="s">
        <v>6528</v>
      </c>
      <c r="C4795" s="5">
        <v>41489</v>
      </c>
      <c r="D4795" s="5">
        <v>41549</v>
      </c>
      <c r="E4795" s="4" t="s">
        <v>5185</v>
      </c>
      <c r="F4795" s="4" t="s">
        <v>5292</v>
      </c>
    </row>
    <row r="4796" spans="1:6" x14ac:dyDescent="0.25">
      <c r="A4796" s="4" t="str">
        <f>CONCATENATE("3071-0000-8789","")</f>
        <v>3071-0000-8789</v>
      </c>
      <c r="B4796" s="4" t="s">
        <v>6589</v>
      </c>
      <c r="C4796" s="5">
        <v>41489</v>
      </c>
      <c r="D4796" s="5">
        <v>41549</v>
      </c>
      <c r="E4796" s="4" t="s">
        <v>5185</v>
      </c>
      <c r="F4796" s="4" t="s">
        <v>5292</v>
      </c>
    </row>
    <row r="4797" spans="1:6" x14ac:dyDescent="0.25">
      <c r="A4797" s="4" t="str">
        <f>CONCATENATE("3071-0000-0709","")</f>
        <v>3071-0000-0709</v>
      </c>
      <c r="B4797" s="4" t="s">
        <v>70</v>
      </c>
      <c r="C4797" s="5">
        <v>41489</v>
      </c>
      <c r="D4797" s="5">
        <v>41549</v>
      </c>
      <c r="E4797" s="4" t="s">
        <v>7</v>
      </c>
      <c r="F4797" s="4" t="s">
        <v>7</v>
      </c>
    </row>
    <row r="4798" spans="1:6" x14ac:dyDescent="0.25">
      <c r="A4798" s="4" t="str">
        <f>CONCATENATE("3071-0000-9050","")</f>
        <v>3071-0000-9050</v>
      </c>
      <c r="B4798" s="4" t="s">
        <v>5303</v>
      </c>
      <c r="C4798" s="5">
        <v>41489</v>
      </c>
      <c r="D4798" s="5">
        <v>41549</v>
      </c>
      <c r="E4798" s="4" t="s">
        <v>5185</v>
      </c>
      <c r="F4798" s="4" t="s">
        <v>5292</v>
      </c>
    </row>
    <row r="4799" spans="1:6" x14ac:dyDescent="0.25">
      <c r="A4799" s="4" t="str">
        <f>CONCATENATE("3071-0000-8693","")</f>
        <v>3071-0000-8693</v>
      </c>
      <c r="B4799" s="4" t="s">
        <v>6469</v>
      </c>
      <c r="C4799" s="5">
        <v>41489</v>
      </c>
      <c r="D4799" s="5">
        <v>41549</v>
      </c>
      <c r="E4799" s="4" t="s">
        <v>5185</v>
      </c>
      <c r="F4799" s="4" t="s">
        <v>5292</v>
      </c>
    </row>
    <row r="4800" spans="1:6" x14ac:dyDescent="0.25">
      <c r="A4800" s="4" t="str">
        <f>CONCATENATE("3071-0000-9264","")</f>
        <v>3071-0000-9264</v>
      </c>
      <c r="B4800" s="4" t="s">
        <v>8538</v>
      </c>
      <c r="C4800" s="5">
        <v>41489</v>
      </c>
      <c r="D4800" s="5">
        <v>41549</v>
      </c>
      <c r="E4800" s="4" t="s">
        <v>5185</v>
      </c>
      <c r="F4800" s="4" t="s">
        <v>5185</v>
      </c>
    </row>
    <row r="4801" spans="1:6" x14ac:dyDescent="0.25">
      <c r="A4801" s="4" t="str">
        <f>CONCATENATE("3071-0000-8738","")</f>
        <v>3071-0000-8738</v>
      </c>
      <c r="B4801" s="4" t="s">
        <v>6540</v>
      </c>
      <c r="C4801" s="5">
        <v>41489</v>
      </c>
      <c r="D4801" s="5">
        <v>41549</v>
      </c>
      <c r="E4801" s="4" t="s">
        <v>5185</v>
      </c>
      <c r="F4801" s="4" t="s">
        <v>5292</v>
      </c>
    </row>
    <row r="4802" spans="1:6" x14ac:dyDescent="0.25">
      <c r="A4802" s="4" t="str">
        <f>CONCATENATE("3071-0000-8573","")</f>
        <v>3071-0000-8573</v>
      </c>
      <c r="B4802" s="4" t="s">
        <v>6034</v>
      </c>
      <c r="C4802" s="5">
        <v>41489</v>
      </c>
      <c r="D4802" s="5">
        <v>41549</v>
      </c>
      <c r="E4802" s="4" t="s">
        <v>5185</v>
      </c>
      <c r="F4802" s="4" t="s">
        <v>5945</v>
      </c>
    </row>
    <row r="4803" spans="1:6" x14ac:dyDescent="0.25">
      <c r="A4803" s="4" t="str">
        <f>CONCATENATE("3071-0000-8688","")</f>
        <v>3071-0000-8688</v>
      </c>
      <c r="B4803" s="4" t="s">
        <v>6456</v>
      </c>
      <c r="C4803" s="5">
        <v>41489</v>
      </c>
      <c r="D4803" s="5">
        <v>41549</v>
      </c>
      <c r="E4803" s="4" t="s">
        <v>5185</v>
      </c>
      <c r="F4803" s="4" t="s">
        <v>5292</v>
      </c>
    </row>
    <row r="4804" spans="1:6" x14ac:dyDescent="0.25">
      <c r="A4804" s="4" t="str">
        <f>CONCATENATE("3071-0000-9129","")</f>
        <v>3071-0000-9129</v>
      </c>
      <c r="B4804" s="4" t="s">
        <v>6366</v>
      </c>
      <c r="C4804" s="5">
        <v>41489</v>
      </c>
      <c r="D4804" s="5">
        <v>41549</v>
      </c>
      <c r="E4804" s="4" t="s">
        <v>5185</v>
      </c>
      <c r="F4804" s="4" t="s">
        <v>5292</v>
      </c>
    </row>
    <row r="4805" spans="1:6" x14ac:dyDescent="0.25">
      <c r="A4805" s="4" t="str">
        <f>CONCATENATE("3071-0000-6994","")</f>
        <v>3071-0000-6994</v>
      </c>
      <c r="B4805" s="4" t="s">
        <v>4397</v>
      </c>
      <c r="C4805" s="5">
        <v>41489</v>
      </c>
      <c r="D4805" s="5">
        <v>41549</v>
      </c>
      <c r="E4805" s="4" t="s">
        <v>1410</v>
      </c>
      <c r="F4805" s="4" t="s">
        <v>1410</v>
      </c>
    </row>
    <row r="4806" spans="1:6" x14ac:dyDescent="0.25">
      <c r="A4806" s="4" t="str">
        <f>CONCATENATE("3071-0000-3011","")</f>
        <v>3071-0000-3011</v>
      </c>
      <c r="B4806" s="4" t="s">
        <v>1146</v>
      </c>
      <c r="C4806" s="5">
        <v>41489</v>
      </c>
      <c r="D4806" s="5">
        <v>41549</v>
      </c>
      <c r="E4806" s="4" t="s">
        <v>7</v>
      </c>
      <c r="F4806" s="4" t="s">
        <v>808</v>
      </c>
    </row>
    <row r="4807" spans="1:6" x14ac:dyDescent="0.25">
      <c r="A4807" s="4" t="str">
        <f>CONCATENATE("3071-0000-2264","")</f>
        <v>3071-0000-2264</v>
      </c>
      <c r="B4807" s="4" t="s">
        <v>3782</v>
      </c>
      <c r="C4807" s="5">
        <v>41489</v>
      </c>
      <c r="D4807" s="5">
        <v>41549</v>
      </c>
      <c r="E4807" s="4" t="s">
        <v>2944</v>
      </c>
      <c r="F4807" s="4" t="s">
        <v>2945</v>
      </c>
    </row>
    <row r="4808" spans="1:6" x14ac:dyDescent="0.25">
      <c r="A4808" s="4" t="str">
        <f>CONCATENATE("3071-0000-7535","")</f>
        <v>3071-0000-7535</v>
      </c>
      <c r="B4808" s="4" t="s">
        <v>4396</v>
      </c>
      <c r="C4808" s="5">
        <v>41489</v>
      </c>
      <c r="D4808" s="5">
        <v>41549</v>
      </c>
      <c r="E4808" s="4" t="s">
        <v>1410</v>
      </c>
      <c r="F4808" s="4" t="s">
        <v>1410</v>
      </c>
    </row>
    <row r="4809" spans="1:6" x14ac:dyDescent="0.25">
      <c r="A4809" s="4" t="str">
        <f>CONCATENATE("3071-0000-4893","")</f>
        <v>3071-0000-4893</v>
      </c>
      <c r="B4809" s="4" t="s">
        <v>8792</v>
      </c>
      <c r="C4809" s="5">
        <v>41489</v>
      </c>
      <c r="D4809" s="5">
        <v>41549</v>
      </c>
      <c r="E4809" s="4" t="s">
        <v>1410</v>
      </c>
      <c r="F4809" s="4" t="s">
        <v>8696</v>
      </c>
    </row>
    <row r="4810" spans="1:6" x14ac:dyDescent="0.25">
      <c r="A4810" s="4" t="str">
        <f>CONCATENATE("3071-0000-4261","")</f>
        <v>3071-0000-4261</v>
      </c>
      <c r="B4810" s="4" t="s">
        <v>8845</v>
      </c>
      <c r="C4810" s="5">
        <v>41489</v>
      </c>
      <c r="D4810" s="5">
        <v>41549</v>
      </c>
      <c r="E4810" s="4" t="s">
        <v>1410</v>
      </c>
      <c r="F4810" s="4" t="s">
        <v>8696</v>
      </c>
    </row>
    <row r="4811" spans="1:6" x14ac:dyDescent="0.25">
      <c r="A4811" s="4" t="str">
        <f>CONCATENATE("3071-0000-2533","")</f>
        <v>3071-0000-2533</v>
      </c>
      <c r="B4811" s="4" t="s">
        <v>3118</v>
      </c>
      <c r="C4811" s="5">
        <v>41489</v>
      </c>
      <c r="D4811" s="5">
        <v>41549</v>
      </c>
      <c r="E4811" s="4" t="s">
        <v>2944</v>
      </c>
      <c r="F4811" s="4" t="s">
        <v>3115</v>
      </c>
    </row>
    <row r="4812" spans="1:6" x14ac:dyDescent="0.25">
      <c r="A4812" s="4" t="str">
        <f>CONCATENATE("3071-0000-2265","")</f>
        <v>3071-0000-2265</v>
      </c>
      <c r="B4812" s="4" t="s">
        <v>3774</v>
      </c>
      <c r="C4812" s="5">
        <v>41489</v>
      </c>
      <c r="D4812" s="5">
        <v>41549</v>
      </c>
      <c r="E4812" s="4" t="s">
        <v>2944</v>
      </c>
      <c r="F4812" s="4" t="s">
        <v>2945</v>
      </c>
    </row>
    <row r="4813" spans="1:6" x14ac:dyDescent="0.25">
      <c r="A4813" s="4" t="str">
        <f>CONCATENATE("3071-0000-2713","")</f>
        <v>3071-0000-2713</v>
      </c>
      <c r="B4813" s="4" t="s">
        <v>3787</v>
      </c>
      <c r="C4813" s="5">
        <v>41489</v>
      </c>
      <c r="D4813" s="5">
        <v>41549</v>
      </c>
      <c r="E4813" s="4" t="s">
        <v>2944</v>
      </c>
      <c r="F4813" s="4" t="s">
        <v>3115</v>
      </c>
    </row>
    <row r="4814" spans="1:6" x14ac:dyDescent="0.25">
      <c r="A4814" s="4" t="str">
        <f>CONCATENATE("3071-0000-2462","")</f>
        <v>3071-0000-2462</v>
      </c>
      <c r="B4814" s="4" t="s">
        <v>3781</v>
      </c>
      <c r="C4814" s="5">
        <v>41489</v>
      </c>
      <c r="D4814" s="5">
        <v>41549</v>
      </c>
      <c r="E4814" s="4" t="s">
        <v>2944</v>
      </c>
      <c r="F4814" s="4" t="s">
        <v>3115</v>
      </c>
    </row>
    <row r="4815" spans="1:6" x14ac:dyDescent="0.25">
      <c r="A4815" s="4" t="str">
        <f>CONCATENATE("3071-0000-2266","")</f>
        <v>3071-0000-2266</v>
      </c>
      <c r="B4815" s="4" t="s">
        <v>3769</v>
      </c>
      <c r="C4815" s="5">
        <v>41489</v>
      </c>
      <c r="D4815" s="5">
        <v>41549</v>
      </c>
      <c r="E4815" s="4" t="s">
        <v>2944</v>
      </c>
      <c r="F4815" s="4" t="s">
        <v>2945</v>
      </c>
    </row>
    <row r="4816" spans="1:6" x14ac:dyDescent="0.25">
      <c r="A4816" s="4" t="str">
        <f>CONCATENATE("3071-0000-0641","")</f>
        <v>3071-0000-0641</v>
      </c>
      <c r="B4816" s="4" t="s">
        <v>276</v>
      </c>
      <c r="C4816" s="5">
        <v>41489</v>
      </c>
      <c r="D4816" s="5">
        <v>41549</v>
      </c>
      <c r="E4816" s="4" t="s">
        <v>7</v>
      </c>
      <c r="F4816" s="4" t="s">
        <v>273</v>
      </c>
    </row>
    <row r="4817" spans="1:6" x14ac:dyDescent="0.25">
      <c r="A4817" s="4" t="str">
        <f>CONCATENATE("3071-0000-7506","")</f>
        <v>3071-0000-7506</v>
      </c>
      <c r="B4817" s="4" t="s">
        <v>4369</v>
      </c>
      <c r="C4817" s="5">
        <v>41489</v>
      </c>
      <c r="D4817" s="5">
        <v>41549</v>
      </c>
      <c r="E4817" s="4" t="s">
        <v>1410</v>
      </c>
      <c r="F4817" s="4" t="s">
        <v>1410</v>
      </c>
    </row>
    <row r="4818" spans="1:6" x14ac:dyDescent="0.25">
      <c r="A4818" s="4" t="str">
        <f>CONCATENATE("3071-0000-2463","")</f>
        <v>3071-0000-2463</v>
      </c>
      <c r="B4818" s="4" t="s">
        <v>3404</v>
      </c>
      <c r="C4818" s="5">
        <v>41489</v>
      </c>
      <c r="D4818" s="5">
        <v>41549</v>
      </c>
      <c r="E4818" s="4" t="s">
        <v>2944</v>
      </c>
      <c r="F4818" s="4" t="s">
        <v>3319</v>
      </c>
    </row>
    <row r="4819" spans="1:6" x14ac:dyDescent="0.25">
      <c r="A4819" s="4" t="str">
        <f>CONCATENATE("3071-0000-1325","")</f>
        <v>3071-0000-1325</v>
      </c>
      <c r="B4819" s="4" t="s">
        <v>2449</v>
      </c>
      <c r="C4819" s="5">
        <v>41489</v>
      </c>
      <c r="D4819" s="5">
        <v>41549</v>
      </c>
      <c r="E4819" s="4" t="s">
        <v>1381</v>
      </c>
      <c r="F4819" s="4" t="s">
        <v>2303</v>
      </c>
    </row>
    <row r="4820" spans="1:6" x14ac:dyDescent="0.25">
      <c r="A4820" s="4" t="str">
        <f>CONCATENATE("3071-0000-6495","")</f>
        <v>3071-0000-6495</v>
      </c>
      <c r="B4820" s="4" t="s">
        <v>7764</v>
      </c>
      <c r="C4820" s="5">
        <v>41489</v>
      </c>
      <c r="D4820" s="5">
        <v>41549</v>
      </c>
      <c r="E4820" s="4" t="s">
        <v>5185</v>
      </c>
      <c r="F4820" s="4" t="s">
        <v>5185</v>
      </c>
    </row>
    <row r="4821" spans="1:6" x14ac:dyDescent="0.25">
      <c r="A4821" s="4" t="str">
        <f>CONCATENATE("3071-0000-9603","")</f>
        <v>3071-0000-9603</v>
      </c>
      <c r="B4821" s="4" t="s">
        <v>8669</v>
      </c>
      <c r="C4821" s="5">
        <v>41489</v>
      </c>
      <c r="D4821" s="5">
        <v>41549</v>
      </c>
      <c r="E4821" s="4" t="s">
        <v>1410</v>
      </c>
      <c r="F4821" s="4" t="s">
        <v>4459</v>
      </c>
    </row>
    <row r="4822" spans="1:6" x14ac:dyDescent="0.25">
      <c r="A4822" s="4" t="str">
        <f>CONCATENATE("3071-0000-0918","")</f>
        <v>3071-0000-0918</v>
      </c>
      <c r="B4822" s="4" t="s">
        <v>2140</v>
      </c>
      <c r="C4822" s="5">
        <v>41489</v>
      </c>
      <c r="D4822" s="5">
        <v>41549</v>
      </c>
      <c r="E4822" s="4" t="s">
        <v>1857</v>
      </c>
      <c r="F4822" s="4" t="s">
        <v>1857</v>
      </c>
    </row>
    <row r="4823" spans="1:6" x14ac:dyDescent="0.25">
      <c r="A4823" s="4" t="str">
        <f>CONCATENATE("3071-0000-3388","")</f>
        <v>3071-0000-3388</v>
      </c>
      <c r="B4823" s="4" t="s">
        <v>1534</v>
      </c>
      <c r="C4823" s="5">
        <v>41489</v>
      </c>
      <c r="D4823" s="5">
        <v>41549</v>
      </c>
      <c r="E4823" s="4" t="s">
        <v>1410</v>
      </c>
      <c r="F4823" s="4" t="s">
        <v>1411</v>
      </c>
    </row>
    <row r="4824" spans="1:6" x14ac:dyDescent="0.25">
      <c r="A4824" s="4" t="str">
        <f>CONCATENATE("3071-0000-9572","")</f>
        <v>3071-0000-9572</v>
      </c>
      <c r="B4824" s="4" t="s">
        <v>8618</v>
      </c>
      <c r="C4824" s="5">
        <v>41489</v>
      </c>
      <c r="D4824" s="5">
        <v>41549</v>
      </c>
      <c r="E4824" s="4" t="s">
        <v>1410</v>
      </c>
      <c r="F4824" s="4" t="s">
        <v>4459</v>
      </c>
    </row>
    <row r="4825" spans="1:6" x14ac:dyDescent="0.25">
      <c r="A4825" s="4" t="str">
        <f>CONCATENATE("3071-0000-6913","")</f>
        <v>3071-0000-6913</v>
      </c>
      <c r="B4825" s="4" t="s">
        <v>4295</v>
      </c>
      <c r="C4825" s="5">
        <v>41489</v>
      </c>
      <c r="D4825" s="5">
        <v>41549</v>
      </c>
      <c r="E4825" s="4" t="s">
        <v>1410</v>
      </c>
      <c r="F4825" s="4" t="s">
        <v>1410</v>
      </c>
    </row>
    <row r="4826" spans="1:6" x14ac:dyDescent="0.25">
      <c r="A4826" s="4" t="str">
        <f>CONCATENATE("3071-0000-9580","")</f>
        <v>3071-0000-9580</v>
      </c>
      <c r="B4826" s="4" t="s">
        <v>8463</v>
      </c>
      <c r="C4826" s="5">
        <v>41489</v>
      </c>
      <c r="D4826" s="5">
        <v>41549</v>
      </c>
      <c r="E4826" s="4" t="s">
        <v>1410</v>
      </c>
      <c r="F4826" s="4" t="s">
        <v>4459</v>
      </c>
    </row>
    <row r="4827" spans="1:6" x14ac:dyDescent="0.25">
      <c r="A4827" s="4" t="str">
        <f>CONCATENATE("3071-0000-9526","")</f>
        <v>3071-0000-9526</v>
      </c>
      <c r="B4827" s="4" t="s">
        <v>8638</v>
      </c>
      <c r="C4827" s="5">
        <v>41489</v>
      </c>
      <c r="D4827" s="5">
        <v>41549</v>
      </c>
      <c r="E4827" s="4" t="s">
        <v>1410</v>
      </c>
      <c r="F4827" s="4" t="s">
        <v>4459</v>
      </c>
    </row>
    <row r="4828" spans="1:6" x14ac:dyDescent="0.25">
      <c r="A4828" s="4" t="str">
        <f>CONCATENATE("3071-0000-9524","")</f>
        <v>3071-0000-9524</v>
      </c>
      <c r="B4828" s="4" t="s">
        <v>8662</v>
      </c>
      <c r="C4828" s="5">
        <v>41489</v>
      </c>
      <c r="D4828" s="5">
        <v>41549</v>
      </c>
      <c r="E4828" s="4" t="s">
        <v>1410</v>
      </c>
      <c r="F4828" s="4" t="s">
        <v>4459</v>
      </c>
    </row>
    <row r="4829" spans="1:6" x14ac:dyDescent="0.25">
      <c r="A4829" s="4" t="str">
        <f>CONCATENATE("3071-0000-9236","")</f>
        <v>3071-0000-9236</v>
      </c>
      <c r="B4829" s="4" t="s">
        <v>8331</v>
      </c>
      <c r="C4829" s="5">
        <v>41489</v>
      </c>
      <c r="D4829" s="5">
        <v>41549</v>
      </c>
      <c r="E4829" s="4" t="s">
        <v>5185</v>
      </c>
      <c r="F4829" s="4" t="s">
        <v>5185</v>
      </c>
    </row>
    <row r="4830" spans="1:6" x14ac:dyDescent="0.25">
      <c r="A4830" s="4" t="str">
        <f>CONCATENATE("3071-0000-9535","")</f>
        <v>3071-0000-9535</v>
      </c>
      <c r="B4830" s="4" t="s">
        <v>8649</v>
      </c>
      <c r="C4830" s="5">
        <v>41489</v>
      </c>
      <c r="D4830" s="5">
        <v>41549</v>
      </c>
      <c r="E4830" s="4" t="s">
        <v>1410</v>
      </c>
      <c r="F4830" s="4" t="s">
        <v>4459</v>
      </c>
    </row>
    <row r="4831" spans="1:6" x14ac:dyDescent="0.25">
      <c r="A4831" s="4" t="str">
        <f>CONCATENATE("3071-0000-9583","")</f>
        <v>3071-0000-9583</v>
      </c>
      <c r="B4831" s="4" t="s">
        <v>8628</v>
      </c>
      <c r="C4831" s="5">
        <v>41489</v>
      </c>
      <c r="D4831" s="5">
        <v>41549</v>
      </c>
      <c r="E4831" s="4" t="s">
        <v>1410</v>
      </c>
      <c r="F4831" s="4" t="s">
        <v>4459</v>
      </c>
    </row>
    <row r="4832" spans="1:6" x14ac:dyDescent="0.25">
      <c r="A4832" s="4" t="str">
        <f>CONCATENATE("3071-0000-9396","")</f>
        <v>3071-0000-9396</v>
      </c>
      <c r="B4832" s="4" t="s">
        <v>8600</v>
      </c>
      <c r="C4832" s="5">
        <v>41489</v>
      </c>
      <c r="D4832" s="5">
        <v>41549</v>
      </c>
      <c r="E4832" s="4" t="s">
        <v>1410</v>
      </c>
      <c r="F4832" s="4" t="s">
        <v>4459</v>
      </c>
    </row>
    <row r="4833" spans="1:6" x14ac:dyDescent="0.25">
      <c r="A4833" s="4" t="str">
        <f>CONCATENATE("3071-0000-6782","")</f>
        <v>3071-0000-6782</v>
      </c>
      <c r="B4833" s="4" t="s">
        <v>8063</v>
      </c>
      <c r="C4833" s="5">
        <v>41489</v>
      </c>
      <c r="D4833" s="5">
        <v>41549</v>
      </c>
      <c r="E4833" s="4" t="s">
        <v>1410</v>
      </c>
      <c r="F4833" s="4" t="s">
        <v>4655</v>
      </c>
    </row>
    <row r="4834" spans="1:6" x14ac:dyDescent="0.25">
      <c r="A4834" s="4" t="str">
        <f>CONCATENATE("3071-0000-6413","")</f>
        <v>3071-0000-6413</v>
      </c>
      <c r="B4834" s="4" t="s">
        <v>8075</v>
      </c>
      <c r="C4834" s="5">
        <v>41489</v>
      </c>
      <c r="D4834" s="5">
        <v>41549</v>
      </c>
      <c r="E4834" s="4" t="s">
        <v>5185</v>
      </c>
      <c r="F4834" s="4" t="s">
        <v>5185</v>
      </c>
    </row>
    <row r="4835" spans="1:6" x14ac:dyDescent="0.25">
      <c r="A4835" s="4" t="str">
        <f>CONCATENATE("3071-0000-9113","")</f>
        <v>3071-0000-9113</v>
      </c>
      <c r="B4835" s="4" t="s">
        <v>5308</v>
      </c>
      <c r="C4835" s="5">
        <v>41489</v>
      </c>
      <c r="D4835" s="5">
        <v>41549</v>
      </c>
      <c r="E4835" s="4" t="s">
        <v>5185</v>
      </c>
      <c r="F4835" s="4" t="s">
        <v>5185</v>
      </c>
    </row>
    <row r="4836" spans="1:6" x14ac:dyDescent="0.25">
      <c r="A4836" s="4" t="str">
        <f>CONCATENATE("3071-0000-7656","")</f>
        <v>3071-0000-7656</v>
      </c>
      <c r="B4836" s="4" t="s">
        <v>4882</v>
      </c>
      <c r="C4836" s="5">
        <v>41489</v>
      </c>
      <c r="D4836" s="5">
        <v>41549</v>
      </c>
      <c r="E4836" s="4" t="s">
        <v>1410</v>
      </c>
      <c r="F4836" s="4" t="s">
        <v>4655</v>
      </c>
    </row>
    <row r="4837" spans="1:6" x14ac:dyDescent="0.25">
      <c r="A4837" s="4" t="str">
        <f>CONCATENATE("3071-0000-6854","")</f>
        <v>3071-0000-6854</v>
      </c>
      <c r="B4837" s="4" t="s">
        <v>8256</v>
      </c>
      <c r="C4837" s="5">
        <v>41489</v>
      </c>
      <c r="D4837" s="5">
        <v>41549</v>
      </c>
      <c r="E4837" s="4" t="s">
        <v>1410</v>
      </c>
      <c r="F4837" s="4" t="s">
        <v>8192</v>
      </c>
    </row>
    <row r="4838" spans="1:6" x14ac:dyDescent="0.25">
      <c r="A4838" s="4" t="str">
        <f>CONCATENATE("3071-0000-9268","")</f>
        <v>3071-0000-9268</v>
      </c>
      <c r="B4838" s="4" t="s">
        <v>8542</v>
      </c>
      <c r="C4838" s="5">
        <v>41489</v>
      </c>
      <c r="D4838" s="5">
        <v>41549</v>
      </c>
      <c r="E4838" s="4" t="s">
        <v>5185</v>
      </c>
      <c r="F4838" s="4" t="s">
        <v>5185</v>
      </c>
    </row>
    <row r="4839" spans="1:6" x14ac:dyDescent="0.25">
      <c r="A4839" s="4" t="str">
        <f>CONCATENATE("3071-0000-9265","")</f>
        <v>3071-0000-9265</v>
      </c>
      <c r="B4839" s="4" t="s">
        <v>8539</v>
      </c>
      <c r="C4839" s="5">
        <v>41489</v>
      </c>
      <c r="D4839" s="5">
        <v>41549</v>
      </c>
      <c r="E4839" s="4" t="s">
        <v>5185</v>
      </c>
      <c r="F4839" s="4" t="s">
        <v>5185</v>
      </c>
    </row>
    <row r="4840" spans="1:6" x14ac:dyDescent="0.25">
      <c r="A4840" s="4" t="str">
        <f>CONCATENATE("3071-0000-5243","")</f>
        <v>3071-0000-5243</v>
      </c>
      <c r="B4840" s="4" t="s">
        <v>6698</v>
      </c>
      <c r="C4840" s="5">
        <v>41489</v>
      </c>
      <c r="D4840" s="5">
        <v>41549</v>
      </c>
      <c r="E4840" s="4" t="s">
        <v>5185</v>
      </c>
      <c r="F4840" s="4" t="s">
        <v>5185</v>
      </c>
    </row>
    <row r="4841" spans="1:6" x14ac:dyDescent="0.25">
      <c r="A4841" s="4" t="str">
        <f>CONCATENATE("3071-0000-9213","")</f>
        <v>3071-0000-9213</v>
      </c>
      <c r="B4841" s="4" t="s">
        <v>8355</v>
      </c>
      <c r="C4841" s="5">
        <v>41489</v>
      </c>
      <c r="D4841" s="5">
        <v>41549</v>
      </c>
      <c r="E4841" s="4" t="s">
        <v>5185</v>
      </c>
      <c r="F4841" s="4" t="s">
        <v>5185</v>
      </c>
    </row>
    <row r="4842" spans="1:6" x14ac:dyDescent="0.25">
      <c r="A4842" s="4" t="str">
        <f>CONCATENATE("3071-0000-6494","")</f>
        <v>3071-0000-6494</v>
      </c>
      <c r="B4842" s="4" t="s">
        <v>7767</v>
      </c>
      <c r="C4842" s="5">
        <v>41489</v>
      </c>
      <c r="D4842" s="5">
        <v>41549</v>
      </c>
      <c r="E4842" s="4" t="s">
        <v>5185</v>
      </c>
      <c r="F4842" s="4" t="s">
        <v>5185</v>
      </c>
    </row>
    <row r="4843" spans="1:6" x14ac:dyDescent="0.25">
      <c r="A4843" s="4" t="str">
        <f>CONCATENATE("3071-0000-9385","")</f>
        <v>3071-0000-9385</v>
      </c>
      <c r="B4843" s="4" t="s">
        <v>8684</v>
      </c>
      <c r="C4843" s="5">
        <v>41489</v>
      </c>
      <c r="D4843" s="5">
        <v>41549</v>
      </c>
      <c r="E4843" s="4" t="s">
        <v>1410</v>
      </c>
      <c r="F4843" s="4" t="s">
        <v>4459</v>
      </c>
    </row>
    <row r="4844" spans="1:6" x14ac:dyDescent="0.25">
      <c r="A4844" s="4" t="str">
        <f>CONCATENATE("3071-0000-9384","")</f>
        <v>3071-0000-9384</v>
      </c>
      <c r="B4844" s="4" t="s">
        <v>8682</v>
      </c>
      <c r="C4844" s="5">
        <v>41489</v>
      </c>
      <c r="D4844" s="5">
        <v>41549</v>
      </c>
      <c r="E4844" s="4" t="s">
        <v>1410</v>
      </c>
      <c r="F4844" s="4" t="s">
        <v>4459</v>
      </c>
    </row>
    <row r="4845" spans="1:6" x14ac:dyDescent="0.25">
      <c r="A4845" s="4" t="str">
        <f>CONCATENATE("3071-0000-5517","")</f>
        <v>3071-0000-5517</v>
      </c>
      <c r="B4845" s="4" t="s">
        <v>6811</v>
      </c>
      <c r="C4845" s="5">
        <v>41489</v>
      </c>
      <c r="D4845" s="5">
        <v>41549</v>
      </c>
      <c r="E4845" s="4" t="s">
        <v>1410</v>
      </c>
      <c r="F4845" s="4" t="s">
        <v>6635</v>
      </c>
    </row>
    <row r="4846" spans="1:6" x14ac:dyDescent="0.25">
      <c r="A4846" s="4" t="str">
        <f>CONCATENATE("3071-0000-9386","")</f>
        <v>3071-0000-9386</v>
      </c>
      <c r="B4846" s="4" t="s">
        <v>8691</v>
      </c>
      <c r="C4846" s="5">
        <v>41489</v>
      </c>
      <c r="D4846" s="5">
        <v>41549</v>
      </c>
      <c r="E4846" s="4" t="s">
        <v>1410</v>
      </c>
      <c r="F4846" s="4" t="s">
        <v>4459</v>
      </c>
    </row>
    <row r="4847" spans="1:6" x14ac:dyDescent="0.25">
      <c r="A4847" s="4" t="str">
        <f>CONCATENATE("3071-0000-6769","")</f>
        <v>3071-0000-6769</v>
      </c>
      <c r="B4847" s="4" t="s">
        <v>8264</v>
      </c>
      <c r="C4847" s="5">
        <v>41489</v>
      </c>
      <c r="D4847" s="5">
        <v>41549</v>
      </c>
      <c r="E4847" s="4" t="s">
        <v>1410</v>
      </c>
      <c r="F4847" s="4" t="s">
        <v>8192</v>
      </c>
    </row>
    <row r="4848" spans="1:6" x14ac:dyDescent="0.25">
      <c r="A4848" s="4" t="str">
        <f>CONCATENATE("3071-0000-9318","")</f>
        <v>3071-0000-9318</v>
      </c>
      <c r="B4848" s="4" t="s">
        <v>8599</v>
      </c>
      <c r="C4848" s="5">
        <v>41489</v>
      </c>
      <c r="D4848" s="5">
        <v>41549</v>
      </c>
      <c r="E4848" s="4" t="s">
        <v>5185</v>
      </c>
      <c r="F4848" s="4" t="s">
        <v>5185</v>
      </c>
    </row>
    <row r="4849" spans="1:6" x14ac:dyDescent="0.25">
      <c r="A4849" s="4" t="str">
        <f>CONCATENATE("3071-0000-9364","")</f>
        <v>3071-0000-9364</v>
      </c>
      <c r="B4849" s="4" t="s">
        <v>8692</v>
      </c>
      <c r="C4849" s="5">
        <v>41489</v>
      </c>
      <c r="D4849" s="5">
        <v>41549</v>
      </c>
      <c r="E4849" s="4" t="s">
        <v>1410</v>
      </c>
      <c r="F4849" s="4" t="s">
        <v>4459</v>
      </c>
    </row>
    <row r="4850" spans="1:6" x14ac:dyDescent="0.25">
      <c r="A4850" s="4" t="str">
        <f>CONCATENATE("3071-0000-5706","")</f>
        <v>3071-0000-5706</v>
      </c>
      <c r="B4850" s="4" t="s">
        <v>7421</v>
      </c>
      <c r="C4850" s="5">
        <v>41489</v>
      </c>
      <c r="D4850" s="5">
        <v>41549</v>
      </c>
      <c r="E4850" s="4" t="s">
        <v>5185</v>
      </c>
      <c r="F4850" s="4" t="s">
        <v>5185</v>
      </c>
    </row>
    <row r="4851" spans="1:6" x14ac:dyDescent="0.25">
      <c r="A4851" s="4" t="str">
        <f>CONCATENATE("3071-0000-1978","")</f>
        <v>3071-0000-1978</v>
      </c>
      <c r="B4851" s="4" t="s">
        <v>3111</v>
      </c>
      <c r="C4851" s="5">
        <v>41489</v>
      </c>
      <c r="D4851" s="5">
        <v>41549</v>
      </c>
      <c r="E4851" s="4" t="s">
        <v>2944</v>
      </c>
      <c r="F4851" s="4" t="s">
        <v>2945</v>
      </c>
    </row>
    <row r="4852" spans="1:6" x14ac:dyDescent="0.25">
      <c r="A4852" s="4" t="str">
        <f>CONCATENATE("3071-0000-0832","")</f>
        <v>3071-0000-0832</v>
      </c>
      <c r="B4852" s="4" t="s">
        <v>1893</v>
      </c>
      <c r="C4852" s="5">
        <v>41489</v>
      </c>
      <c r="D4852" s="5">
        <v>41549</v>
      </c>
      <c r="E4852" s="4" t="s">
        <v>1857</v>
      </c>
      <c r="F4852" s="4" t="s">
        <v>1857</v>
      </c>
    </row>
    <row r="4853" spans="1:6" x14ac:dyDescent="0.25">
      <c r="A4853" s="4" t="str">
        <f>CONCATENATE("3071-0000-8450","")</f>
        <v>3071-0000-8450</v>
      </c>
      <c r="B4853" s="4" t="s">
        <v>6077</v>
      </c>
      <c r="C4853" s="5">
        <v>41489</v>
      </c>
      <c r="D4853" s="5">
        <v>41549</v>
      </c>
      <c r="E4853" s="4" t="s">
        <v>5185</v>
      </c>
      <c r="F4853" s="4" t="s">
        <v>5945</v>
      </c>
    </row>
    <row r="4854" spans="1:6" x14ac:dyDescent="0.25">
      <c r="A4854" s="4" t="str">
        <f>CONCATENATE("3071-0000-7412","")</f>
        <v>3071-0000-7412</v>
      </c>
      <c r="B4854" s="4" t="s">
        <v>5125</v>
      </c>
      <c r="C4854" s="5">
        <v>41489</v>
      </c>
      <c r="D4854" s="5">
        <v>41549</v>
      </c>
      <c r="E4854" s="4" t="s">
        <v>1410</v>
      </c>
      <c r="F4854" s="4" t="s">
        <v>1410</v>
      </c>
    </row>
    <row r="4855" spans="1:6" x14ac:dyDescent="0.25">
      <c r="A4855" s="4" t="str">
        <f>CONCATENATE("3071-0000-8394","")</f>
        <v>3071-0000-8394</v>
      </c>
      <c r="B4855" s="4" t="s">
        <v>5944</v>
      </c>
      <c r="C4855" s="5">
        <v>41489</v>
      </c>
      <c r="D4855" s="5">
        <v>41549</v>
      </c>
      <c r="E4855" s="4" t="s">
        <v>5185</v>
      </c>
      <c r="F4855" s="4" t="s">
        <v>5185</v>
      </c>
    </row>
    <row r="4856" spans="1:6" x14ac:dyDescent="0.25">
      <c r="A4856" s="4" t="str">
        <f>CONCATENATE("3071-0000-4383","")</f>
        <v>3071-0000-4383</v>
      </c>
      <c r="B4856" s="4" t="s">
        <v>9232</v>
      </c>
      <c r="C4856" s="5">
        <v>41489</v>
      </c>
      <c r="D4856" s="5">
        <v>41549</v>
      </c>
      <c r="E4856" s="4" t="s">
        <v>1410</v>
      </c>
      <c r="F4856" s="4" t="s">
        <v>8696</v>
      </c>
    </row>
    <row r="4857" spans="1:6" x14ac:dyDescent="0.25">
      <c r="A4857" s="4" t="str">
        <f>CONCATENATE("3071-0000-0348","")</f>
        <v>3071-0000-0348</v>
      </c>
      <c r="B4857" s="4" t="s">
        <v>129</v>
      </c>
      <c r="C4857" s="5">
        <v>41489</v>
      </c>
      <c r="D4857" s="5">
        <v>41549</v>
      </c>
      <c r="E4857" s="4" t="s">
        <v>7</v>
      </c>
      <c r="F4857" s="4" t="s">
        <v>7</v>
      </c>
    </row>
    <row r="4858" spans="1:6" x14ac:dyDescent="0.25">
      <c r="A4858" s="4" t="str">
        <f>CONCATENATE("3071-0000-8516","")</f>
        <v>3071-0000-8516</v>
      </c>
      <c r="B4858" s="4" t="s">
        <v>5798</v>
      </c>
      <c r="C4858" s="5">
        <v>41489</v>
      </c>
      <c r="D4858" s="5">
        <v>41549</v>
      </c>
      <c r="E4858" s="4" t="s">
        <v>5185</v>
      </c>
      <c r="F4858" s="4" t="s">
        <v>5763</v>
      </c>
    </row>
    <row r="4859" spans="1:6" x14ac:dyDescent="0.25">
      <c r="A4859" s="4" t="str">
        <f>CONCATENATE("3071-0000-8045","")</f>
        <v>3071-0000-8045</v>
      </c>
      <c r="B4859" s="4" t="s">
        <v>5788</v>
      </c>
      <c r="C4859" s="5">
        <v>41489</v>
      </c>
      <c r="D4859" s="5">
        <v>41549</v>
      </c>
      <c r="E4859" s="4" t="s">
        <v>5185</v>
      </c>
      <c r="F4859" s="4" t="s">
        <v>5185</v>
      </c>
    </row>
    <row r="4860" spans="1:6" x14ac:dyDescent="0.25">
      <c r="A4860" s="4" t="str">
        <f>CONCATENATE("3071-0000-8074","")</f>
        <v>3071-0000-8074</v>
      </c>
      <c r="B4860" s="4" t="s">
        <v>5910</v>
      </c>
      <c r="C4860" s="5">
        <v>41489</v>
      </c>
      <c r="D4860" s="5">
        <v>41549</v>
      </c>
      <c r="E4860" s="4" t="s">
        <v>5185</v>
      </c>
      <c r="F4860" s="4" t="s">
        <v>5185</v>
      </c>
    </row>
    <row r="4861" spans="1:6" x14ac:dyDescent="0.25">
      <c r="A4861" s="4" t="str">
        <f>CONCATENATE("3071-0000-1279","")</f>
        <v>3071-0000-1279</v>
      </c>
      <c r="B4861" s="4" t="s">
        <v>2384</v>
      </c>
      <c r="C4861" s="5">
        <v>41489</v>
      </c>
      <c r="D4861" s="5">
        <v>41549</v>
      </c>
      <c r="E4861" s="4" t="s">
        <v>1381</v>
      </c>
      <c r="F4861" s="4" t="s">
        <v>2303</v>
      </c>
    </row>
    <row r="4862" spans="1:6" x14ac:dyDescent="0.25">
      <c r="A4862" s="4" t="str">
        <f>CONCATENATE("3071-0000-8840","")</f>
        <v>3071-0000-8840</v>
      </c>
      <c r="B4862" s="4" t="s">
        <v>6510</v>
      </c>
      <c r="C4862" s="5">
        <v>41489</v>
      </c>
      <c r="D4862" s="5">
        <v>41549</v>
      </c>
      <c r="E4862" s="4" t="s">
        <v>5185</v>
      </c>
      <c r="F4862" s="4" t="s">
        <v>5292</v>
      </c>
    </row>
    <row r="4863" spans="1:6" x14ac:dyDescent="0.25">
      <c r="A4863" s="4" t="str">
        <f>CONCATENATE("3071-0000-9452","")</f>
        <v>3071-0000-9452</v>
      </c>
      <c r="B4863" s="4" t="s">
        <v>8511</v>
      </c>
      <c r="C4863" s="5">
        <v>41489</v>
      </c>
      <c r="D4863" s="5">
        <v>41549</v>
      </c>
      <c r="E4863" s="4" t="s">
        <v>1410</v>
      </c>
      <c r="F4863" s="4" t="s">
        <v>4459</v>
      </c>
    </row>
    <row r="4864" spans="1:6" x14ac:dyDescent="0.25">
      <c r="A4864" s="4" t="str">
        <f>CONCATENATE("3071-0000-3486","")</f>
        <v>3071-0000-3486</v>
      </c>
      <c r="B4864" s="4" t="s">
        <v>1779</v>
      </c>
      <c r="C4864" s="5">
        <v>41489</v>
      </c>
      <c r="D4864" s="5">
        <v>41549</v>
      </c>
      <c r="E4864" s="4" t="s">
        <v>1410</v>
      </c>
      <c r="F4864" s="4" t="s">
        <v>1411</v>
      </c>
    </row>
    <row r="4865" spans="1:6" x14ac:dyDescent="0.25">
      <c r="A4865" s="4" t="str">
        <f>CONCATENATE("3071-0000-3345","")</f>
        <v>3071-0000-3345</v>
      </c>
      <c r="B4865" s="4" t="s">
        <v>1468</v>
      </c>
      <c r="C4865" s="5">
        <v>41489</v>
      </c>
      <c r="D4865" s="5">
        <v>41549</v>
      </c>
      <c r="E4865" s="4" t="s">
        <v>1410</v>
      </c>
      <c r="F4865" s="4" t="s">
        <v>1411</v>
      </c>
    </row>
    <row r="4866" spans="1:6" x14ac:dyDescent="0.25">
      <c r="A4866" s="4" t="str">
        <f>CONCATENATE("3071-0000-8206","")</f>
        <v>3071-0000-8206</v>
      </c>
      <c r="B4866" s="4" t="s">
        <v>5849</v>
      </c>
      <c r="C4866" s="5">
        <v>41489</v>
      </c>
      <c r="D4866" s="5">
        <v>41549</v>
      </c>
      <c r="E4866" s="4" t="s">
        <v>5185</v>
      </c>
      <c r="F4866" s="4" t="s">
        <v>5185</v>
      </c>
    </row>
    <row r="4867" spans="1:6" x14ac:dyDescent="0.25">
      <c r="A4867" s="4" t="str">
        <f>CONCATENATE("3071-0000-3477","")</f>
        <v>3071-0000-3477</v>
      </c>
      <c r="B4867" s="4" t="s">
        <v>1769</v>
      </c>
      <c r="C4867" s="5">
        <v>41489</v>
      </c>
      <c r="D4867" s="5">
        <v>41549</v>
      </c>
      <c r="E4867" s="4" t="s">
        <v>1410</v>
      </c>
      <c r="F4867" s="4" t="s">
        <v>1411</v>
      </c>
    </row>
    <row r="4868" spans="1:6" x14ac:dyDescent="0.25">
      <c r="A4868" s="4" t="str">
        <f>CONCATENATE("3071-0000-9041","")</f>
        <v>3071-0000-9041</v>
      </c>
      <c r="B4868" s="4" t="s">
        <v>6041</v>
      </c>
      <c r="C4868" s="5">
        <v>41489</v>
      </c>
      <c r="D4868" s="5">
        <v>41549</v>
      </c>
      <c r="E4868" s="4" t="s">
        <v>5185</v>
      </c>
      <c r="F4868" s="4" t="s">
        <v>5945</v>
      </c>
    </row>
    <row r="4869" spans="1:6" x14ac:dyDescent="0.25">
      <c r="A4869" s="4" t="str">
        <f>CONCATENATE("3071-0000-2998","")</f>
        <v>3071-0000-2998</v>
      </c>
      <c r="B4869" s="4" t="s">
        <v>1100</v>
      </c>
      <c r="C4869" s="5">
        <v>41489</v>
      </c>
      <c r="D4869" s="5">
        <v>41549</v>
      </c>
      <c r="E4869" s="4" t="s">
        <v>7</v>
      </c>
      <c r="F4869" s="4" t="s">
        <v>808</v>
      </c>
    </row>
    <row r="4870" spans="1:6" x14ac:dyDescent="0.25">
      <c r="A4870" s="4" t="str">
        <f>CONCATENATE("3071-0000-4729","")</f>
        <v>3071-0000-4729</v>
      </c>
      <c r="B4870" s="4" t="s">
        <v>9644</v>
      </c>
      <c r="C4870" s="5">
        <v>41489</v>
      </c>
      <c r="D4870" s="5">
        <v>41549</v>
      </c>
      <c r="E4870" s="4" t="s">
        <v>1410</v>
      </c>
      <c r="F4870" s="4" t="s">
        <v>8696</v>
      </c>
    </row>
    <row r="4871" spans="1:6" x14ac:dyDescent="0.25">
      <c r="A4871" s="4" t="str">
        <f>CONCATENATE("3071-0000-3030","")</f>
        <v>3071-0000-3030</v>
      </c>
      <c r="B4871" s="4" t="s">
        <v>921</v>
      </c>
      <c r="C4871" s="5">
        <v>41489</v>
      </c>
      <c r="D4871" s="5">
        <v>41549</v>
      </c>
      <c r="E4871" s="4" t="s">
        <v>7</v>
      </c>
      <c r="F4871" s="4" t="s">
        <v>808</v>
      </c>
    </row>
    <row r="4872" spans="1:6" x14ac:dyDescent="0.25">
      <c r="A4872" s="4" t="str">
        <f>CONCATENATE("3071-0000-3218","")</f>
        <v>3071-0000-3218</v>
      </c>
      <c r="B4872" s="4" t="s">
        <v>973</v>
      </c>
      <c r="C4872" s="5">
        <v>41489</v>
      </c>
      <c r="D4872" s="5">
        <v>41549</v>
      </c>
      <c r="E4872" s="4" t="s">
        <v>7</v>
      </c>
      <c r="F4872" s="4" t="s">
        <v>808</v>
      </c>
    </row>
    <row r="4873" spans="1:6" x14ac:dyDescent="0.25">
      <c r="A4873" s="4" t="str">
        <f>CONCATENATE("3071-0000-3036","")</f>
        <v>3071-0000-3036</v>
      </c>
      <c r="B4873" s="4" t="s">
        <v>907</v>
      </c>
      <c r="C4873" s="5">
        <v>41489</v>
      </c>
      <c r="D4873" s="5">
        <v>41549</v>
      </c>
      <c r="E4873" s="4" t="s">
        <v>7</v>
      </c>
      <c r="F4873" s="4" t="s">
        <v>808</v>
      </c>
    </row>
    <row r="4874" spans="1:6" x14ac:dyDescent="0.25">
      <c r="A4874" s="4" t="str">
        <f>CONCATENATE("3071-0000-8039","")</f>
        <v>3071-0000-8039</v>
      </c>
      <c r="B4874" s="4" t="s">
        <v>5780</v>
      </c>
      <c r="C4874" s="5">
        <v>41489</v>
      </c>
      <c r="D4874" s="5">
        <v>41549</v>
      </c>
      <c r="E4874" s="4" t="s">
        <v>5185</v>
      </c>
      <c r="F4874" s="4" t="s">
        <v>5185</v>
      </c>
    </row>
    <row r="4875" spans="1:6" x14ac:dyDescent="0.25">
      <c r="A4875" s="4" t="str">
        <f>CONCATENATE("3071-0000-5970","")</f>
        <v>3071-0000-5970</v>
      </c>
      <c r="B4875" s="4" t="s">
        <v>7184</v>
      </c>
      <c r="C4875" s="5">
        <v>41489</v>
      </c>
      <c r="D4875" s="5">
        <v>41549</v>
      </c>
      <c r="E4875" s="4" t="s">
        <v>5185</v>
      </c>
      <c r="F4875" s="4" t="s">
        <v>5185</v>
      </c>
    </row>
    <row r="4876" spans="1:6" x14ac:dyDescent="0.25">
      <c r="A4876" s="4" t="str">
        <f>CONCATENATE("3071-0000-3339","")</f>
        <v>3071-0000-3339</v>
      </c>
      <c r="B4876" s="4" t="s">
        <v>1417</v>
      </c>
      <c r="C4876" s="5">
        <v>41489</v>
      </c>
      <c r="D4876" s="5">
        <v>41549</v>
      </c>
      <c r="E4876" s="4" t="s">
        <v>1410</v>
      </c>
      <c r="F4876" s="4" t="s">
        <v>1411</v>
      </c>
    </row>
    <row r="4877" spans="1:6" x14ac:dyDescent="0.25">
      <c r="A4877" s="4" t="str">
        <f>CONCATENATE("3071-0000-3685","")</f>
        <v>3071-0000-3685</v>
      </c>
      <c r="B4877" s="4" t="s">
        <v>1819</v>
      </c>
      <c r="C4877" s="5">
        <v>41489</v>
      </c>
      <c r="D4877" s="5">
        <v>41549</v>
      </c>
      <c r="E4877" s="4" t="s">
        <v>1410</v>
      </c>
      <c r="F4877" s="4" t="s">
        <v>1411</v>
      </c>
    </row>
    <row r="4878" spans="1:6" x14ac:dyDescent="0.25">
      <c r="A4878" s="4" t="str">
        <f>CONCATENATE("3071-0000-3719","")</f>
        <v>3071-0000-3719</v>
      </c>
      <c r="B4878" s="4" t="s">
        <v>1437</v>
      </c>
      <c r="C4878" s="5">
        <v>41489</v>
      </c>
      <c r="D4878" s="5">
        <v>41549</v>
      </c>
      <c r="E4878" s="4" t="s">
        <v>1410</v>
      </c>
      <c r="F4878" s="4" t="s">
        <v>1411</v>
      </c>
    </row>
    <row r="4879" spans="1:6" x14ac:dyDescent="0.25">
      <c r="A4879" s="4" t="str">
        <f>CONCATENATE("3071-0000-3706","")</f>
        <v>3071-0000-3706</v>
      </c>
      <c r="B4879" s="4" t="s">
        <v>1445</v>
      </c>
      <c r="C4879" s="5">
        <v>41489</v>
      </c>
      <c r="D4879" s="5">
        <v>41549</v>
      </c>
      <c r="E4879" s="4" t="s">
        <v>1410</v>
      </c>
      <c r="F4879" s="4" t="s">
        <v>1411</v>
      </c>
    </row>
    <row r="4880" spans="1:6" x14ac:dyDescent="0.25">
      <c r="A4880" s="4" t="str">
        <f>CONCATENATE("3071-0000-8253","")</f>
        <v>3071-0000-8253</v>
      </c>
      <c r="B4880" s="4" t="s">
        <v>5777</v>
      </c>
      <c r="C4880" s="5">
        <v>41489</v>
      </c>
      <c r="D4880" s="5">
        <v>41549</v>
      </c>
      <c r="E4880" s="4" t="s">
        <v>5185</v>
      </c>
      <c r="F4880" s="4" t="s">
        <v>5185</v>
      </c>
    </row>
    <row r="4881" spans="1:6" x14ac:dyDescent="0.25">
      <c r="A4881" s="4" t="str">
        <f>CONCATENATE("3071-0000-8089","")</f>
        <v>3071-0000-8089</v>
      </c>
      <c r="B4881" s="4" t="s">
        <v>5884</v>
      </c>
      <c r="C4881" s="5">
        <v>41489</v>
      </c>
      <c r="D4881" s="5">
        <v>41549</v>
      </c>
      <c r="E4881" s="4" t="s">
        <v>5185</v>
      </c>
      <c r="F4881" s="4" t="s">
        <v>5185</v>
      </c>
    </row>
    <row r="4882" spans="1:6" x14ac:dyDescent="0.25">
      <c r="A4882" s="4" t="str">
        <f>CONCATENATE("3071-0000-7961","")</f>
        <v>3071-0000-7961</v>
      </c>
      <c r="B4882" s="4" t="s">
        <v>5380</v>
      </c>
      <c r="C4882" s="5">
        <v>41489</v>
      </c>
      <c r="D4882" s="5">
        <v>41549</v>
      </c>
      <c r="E4882" s="4" t="s">
        <v>5185</v>
      </c>
      <c r="F4882" s="4" t="s">
        <v>5185</v>
      </c>
    </row>
    <row r="4883" spans="1:6" x14ac:dyDescent="0.25">
      <c r="A4883" s="4" t="str">
        <f>CONCATENATE("3071-0000-2423","")</f>
        <v>3071-0000-2423</v>
      </c>
      <c r="B4883" s="4" t="s">
        <v>3746</v>
      </c>
      <c r="C4883" s="5">
        <v>41489</v>
      </c>
      <c r="D4883" s="5">
        <v>41549</v>
      </c>
      <c r="E4883" s="4" t="s">
        <v>2944</v>
      </c>
      <c r="F4883" s="4" t="s">
        <v>3593</v>
      </c>
    </row>
    <row r="4884" spans="1:6" x14ac:dyDescent="0.25">
      <c r="A4884" s="4" t="str">
        <f>CONCATENATE("3071-0000-3624","")</f>
        <v>3071-0000-3624</v>
      </c>
      <c r="B4884" s="4" t="s">
        <v>1645</v>
      </c>
      <c r="C4884" s="5">
        <v>41489</v>
      </c>
      <c r="D4884" s="5">
        <v>41549</v>
      </c>
      <c r="E4884" s="4" t="s">
        <v>1410</v>
      </c>
      <c r="F4884" s="4" t="s">
        <v>1410</v>
      </c>
    </row>
    <row r="4885" spans="1:6" x14ac:dyDescent="0.25">
      <c r="A4885" s="4" t="str">
        <f>CONCATENATE("3071-0000-8403","")</f>
        <v>3071-0000-8403</v>
      </c>
      <c r="B4885" s="4" t="s">
        <v>5901</v>
      </c>
      <c r="C4885" s="5">
        <v>41489</v>
      </c>
      <c r="D4885" s="5">
        <v>41549</v>
      </c>
      <c r="E4885" s="4" t="s">
        <v>5185</v>
      </c>
      <c r="F4885" s="4" t="s">
        <v>5185</v>
      </c>
    </row>
    <row r="4886" spans="1:6" x14ac:dyDescent="0.25">
      <c r="A4886" s="4" t="str">
        <f>CONCATENATE("3071-0000-3593","")</f>
        <v>3071-0000-3593</v>
      </c>
      <c r="B4886" s="4" t="s">
        <v>1794</v>
      </c>
      <c r="C4886" s="5">
        <v>41489</v>
      </c>
      <c r="D4886" s="5">
        <v>41549</v>
      </c>
      <c r="E4886" s="4" t="s">
        <v>1410</v>
      </c>
      <c r="F4886" s="4" t="s">
        <v>1411</v>
      </c>
    </row>
    <row r="4887" spans="1:6" x14ac:dyDescent="0.25">
      <c r="A4887" s="4" t="str">
        <f>CONCATENATE("3071-0000-8533","")</f>
        <v>3071-0000-8533</v>
      </c>
      <c r="B4887" s="4" t="s">
        <v>6128</v>
      </c>
      <c r="C4887" s="5">
        <v>41489</v>
      </c>
      <c r="D4887" s="5">
        <v>41549</v>
      </c>
      <c r="E4887" s="4" t="s">
        <v>5185</v>
      </c>
      <c r="F4887" s="4" t="s">
        <v>5945</v>
      </c>
    </row>
    <row r="4888" spans="1:6" x14ac:dyDescent="0.25">
      <c r="A4888" s="4" t="str">
        <f>CONCATENATE("3071-0000-8534","")</f>
        <v>3071-0000-8534</v>
      </c>
      <c r="B4888" s="4" t="s">
        <v>6122</v>
      </c>
      <c r="C4888" s="5">
        <v>41489</v>
      </c>
      <c r="D4888" s="5">
        <v>41549</v>
      </c>
      <c r="E4888" s="4" t="s">
        <v>5185</v>
      </c>
      <c r="F4888" s="4" t="s">
        <v>5945</v>
      </c>
    </row>
    <row r="4889" spans="1:6" x14ac:dyDescent="0.25">
      <c r="A4889" s="4" t="str">
        <f>CONCATENATE("3071-0000-3599","")</f>
        <v>3071-0000-3599</v>
      </c>
      <c r="B4889" s="4" t="s">
        <v>1524</v>
      </c>
      <c r="C4889" s="5">
        <v>41489</v>
      </c>
      <c r="D4889" s="5">
        <v>41549</v>
      </c>
      <c r="E4889" s="4" t="s">
        <v>1410</v>
      </c>
      <c r="F4889" s="4" t="s">
        <v>1411</v>
      </c>
    </row>
    <row r="4890" spans="1:6" x14ac:dyDescent="0.25">
      <c r="A4890" s="4" t="str">
        <f>CONCATENATE("3071-0000-3495","")</f>
        <v>3071-0000-3495</v>
      </c>
      <c r="B4890" s="4" t="s">
        <v>1793</v>
      </c>
      <c r="C4890" s="5">
        <v>41489</v>
      </c>
      <c r="D4890" s="5">
        <v>41549</v>
      </c>
      <c r="E4890" s="4" t="s">
        <v>1410</v>
      </c>
      <c r="F4890" s="4" t="s">
        <v>1411</v>
      </c>
    </row>
    <row r="4891" spans="1:6" x14ac:dyDescent="0.25">
      <c r="A4891" s="4" t="str">
        <f>CONCATENATE("3071-0000-0540","")</f>
        <v>3071-0000-0540</v>
      </c>
      <c r="B4891" s="4" t="s">
        <v>178</v>
      </c>
      <c r="C4891" s="5">
        <v>41489</v>
      </c>
      <c r="D4891" s="5">
        <v>41549</v>
      </c>
      <c r="E4891" s="4" t="s">
        <v>7</v>
      </c>
      <c r="F4891" s="4" t="s">
        <v>7</v>
      </c>
    </row>
    <row r="4892" spans="1:6" x14ac:dyDescent="0.25">
      <c r="A4892" s="4" t="str">
        <f>CONCATENATE("3071-0000-3409","")</f>
        <v>3071-0000-3409</v>
      </c>
      <c r="B4892" s="4" t="s">
        <v>1574</v>
      </c>
      <c r="C4892" s="5">
        <v>41489</v>
      </c>
      <c r="D4892" s="5">
        <v>41549</v>
      </c>
      <c r="E4892" s="4" t="s">
        <v>1410</v>
      </c>
      <c r="F4892" s="4" t="s">
        <v>1411</v>
      </c>
    </row>
    <row r="4893" spans="1:6" x14ac:dyDescent="0.25">
      <c r="A4893" s="4" t="str">
        <f>CONCATENATE("3071-0000-4389","")</f>
        <v>3071-0000-4389</v>
      </c>
      <c r="B4893" s="4" t="s">
        <v>9243</v>
      </c>
      <c r="C4893" s="5">
        <v>41489</v>
      </c>
      <c r="D4893" s="5">
        <v>41549</v>
      </c>
      <c r="E4893" s="4" t="s">
        <v>1410</v>
      </c>
      <c r="F4893" s="4" t="s">
        <v>8696</v>
      </c>
    </row>
    <row r="4894" spans="1:6" x14ac:dyDescent="0.25">
      <c r="A4894" s="4" t="str">
        <f>CONCATENATE("3071-0000-9064","")</f>
        <v>3071-0000-9064</v>
      </c>
      <c r="B4894" s="4" t="s">
        <v>5815</v>
      </c>
      <c r="C4894" s="5">
        <v>41489</v>
      </c>
      <c r="D4894" s="5">
        <v>41549</v>
      </c>
      <c r="E4894" s="4" t="s">
        <v>5185</v>
      </c>
      <c r="F4894" s="4" t="s">
        <v>5763</v>
      </c>
    </row>
    <row r="4895" spans="1:6" x14ac:dyDescent="0.25">
      <c r="A4895" s="4" t="str">
        <f>CONCATENATE("3071-0000-3447","")</f>
        <v>3071-0000-3447</v>
      </c>
      <c r="B4895" s="4" t="s">
        <v>1734</v>
      </c>
      <c r="C4895" s="5">
        <v>41489</v>
      </c>
      <c r="D4895" s="5">
        <v>41549</v>
      </c>
      <c r="E4895" s="4" t="s">
        <v>1410</v>
      </c>
      <c r="F4895" s="4" t="s">
        <v>1411</v>
      </c>
    </row>
    <row r="4896" spans="1:6" x14ac:dyDescent="0.25">
      <c r="A4896" s="4" t="str">
        <f>CONCATENATE("3071-0000-3493","")</f>
        <v>3071-0000-3493</v>
      </c>
      <c r="B4896" s="4" t="s">
        <v>1790</v>
      </c>
      <c r="C4896" s="5">
        <v>41489</v>
      </c>
      <c r="D4896" s="5">
        <v>41549</v>
      </c>
      <c r="E4896" s="4" t="s">
        <v>1410</v>
      </c>
      <c r="F4896" s="4" t="s">
        <v>1411</v>
      </c>
    </row>
    <row r="4897" spans="1:6" x14ac:dyDescent="0.25">
      <c r="A4897" s="4" t="str">
        <f>CONCATENATE("3071-0000-1308","")</f>
        <v>3071-0000-1308</v>
      </c>
      <c r="B4897" s="4" t="s">
        <v>2423</v>
      </c>
      <c r="C4897" s="5">
        <v>41489</v>
      </c>
      <c r="D4897" s="5">
        <v>41549</v>
      </c>
      <c r="E4897" s="4" t="s">
        <v>1381</v>
      </c>
      <c r="F4897" s="4" t="s">
        <v>2303</v>
      </c>
    </row>
    <row r="4898" spans="1:6" x14ac:dyDescent="0.25">
      <c r="A4898" s="4" t="str">
        <f>CONCATENATE("3071-0000-1261","")</f>
        <v>3071-0000-1261</v>
      </c>
      <c r="B4898" s="4" t="s">
        <v>2353</v>
      </c>
      <c r="C4898" s="5">
        <v>41489</v>
      </c>
      <c r="D4898" s="5">
        <v>41549</v>
      </c>
      <c r="E4898" s="4" t="s">
        <v>1381</v>
      </c>
      <c r="F4898" s="4" t="s">
        <v>2303</v>
      </c>
    </row>
    <row r="4899" spans="1:6" x14ac:dyDescent="0.25">
      <c r="A4899" s="4" t="str">
        <f>CONCATENATE("3071-0000-1785","")</f>
        <v>3071-0000-1785</v>
      </c>
      <c r="B4899" s="4" t="s">
        <v>2672</v>
      </c>
      <c r="C4899" s="5">
        <v>41489</v>
      </c>
      <c r="D4899" s="5">
        <v>41549</v>
      </c>
      <c r="E4899" s="4" t="s">
        <v>1381</v>
      </c>
      <c r="F4899" s="4" t="s">
        <v>2662</v>
      </c>
    </row>
    <row r="4900" spans="1:6" x14ac:dyDescent="0.25">
      <c r="A4900" s="4" t="str">
        <f>CONCATENATE("3071-0000-7360","")</f>
        <v>3071-0000-7360</v>
      </c>
      <c r="B4900" s="4" t="s">
        <v>4527</v>
      </c>
      <c r="C4900" s="5">
        <v>41489</v>
      </c>
      <c r="D4900" s="5">
        <v>41549</v>
      </c>
      <c r="E4900" s="4" t="s">
        <v>1410</v>
      </c>
      <c r="F4900" s="4" t="s">
        <v>1410</v>
      </c>
    </row>
    <row r="4901" spans="1:6" x14ac:dyDescent="0.25">
      <c r="A4901" s="4" t="str">
        <f>CONCATENATE("3071-0000-8360","")</f>
        <v>3071-0000-8360</v>
      </c>
      <c r="B4901" s="4" t="s">
        <v>5828</v>
      </c>
      <c r="C4901" s="5">
        <v>41489</v>
      </c>
      <c r="D4901" s="5">
        <v>41549</v>
      </c>
      <c r="E4901" s="4" t="s">
        <v>5185</v>
      </c>
      <c r="F4901" s="4" t="s">
        <v>5185</v>
      </c>
    </row>
    <row r="4902" spans="1:6" x14ac:dyDescent="0.25">
      <c r="A4902" s="4" t="str">
        <f>CONCATENATE("3071-0000-8444","")</f>
        <v>3071-0000-8444</v>
      </c>
      <c r="B4902" s="4" t="s">
        <v>6315</v>
      </c>
      <c r="C4902" s="5">
        <v>41489</v>
      </c>
      <c r="D4902" s="5">
        <v>41549</v>
      </c>
      <c r="E4902" s="4" t="s">
        <v>5185</v>
      </c>
      <c r="F4902" s="4" t="s">
        <v>5292</v>
      </c>
    </row>
    <row r="4903" spans="1:6" x14ac:dyDescent="0.25">
      <c r="A4903" s="4" t="str">
        <f>CONCATENATE("3071-0000-8332","")</f>
        <v>3071-0000-8332</v>
      </c>
      <c r="B4903" s="4" t="s">
        <v>5860</v>
      </c>
      <c r="C4903" s="5">
        <v>41489</v>
      </c>
      <c r="D4903" s="5">
        <v>41549</v>
      </c>
      <c r="E4903" s="4" t="s">
        <v>5185</v>
      </c>
      <c r="F4903" s="4" t="s">
        <v>5185</v>
      </c>
    </row>
    <row r="4904" spans="1:6" x14ac:dyDescent="0.25">
      <c r="A4904" s="4" t="str">
        <f>CONCATENATE("3071-0000-7614","")</f>
        <v>3071-0000-7614</v>
      </c>
      <c r="B4904" s="4" t="s">
        <v>4759</v>
      </c>
      <c r="C4904" s="5">
        <v>41489</v>
      </c>
      <c r="D4904" s="5">
        <v>41549</v>
      </c>
      <c r="E4904" s="4" t="s">
        <v>1410</v>
      </c>
      <c r="F4904" s="4" t="s">
        <v>1410</v>
      </c>
    </row>
    <row r="4905" spans="1:6" x14ac:dyDescent="0.25">
      <c r="A4905" s="4" t="str">
        <f>CONCATENATE("3071-0000-0464","")</f>
        <v>3071-0000-0464</v>
      </c>
      <c r="B4905" s="4" t="s">
        <v>411</v>
      </c>
      <c r="C4905" s="5">
        <v>41489</v>
      </c>
      <c r="D4905" s="5">
        <v>41549</v>
      </c>
      <c r="E4905" s="4" t="s">
        <v>7</v>
      </c>
      <c r="F4905" s="4" t="s">
        <v>7</v>
      </c>
    </row>
    <row r="4906" spans="1:6" x14ac:dyDescent="0.25">
      <c r="A4906" s="4" t="str">
        <f>CONCATENATE("3071-0000-1201","")</f>
        <v>3071-0000-1201</v>
      </c>
      <c r="B4906" s="4" t="s">
        <v>1894</v>
      </c>
      <c r="C4906" s="5">
        <v>41489</v>
      </c>
      <c r="D4906" s="5">
        <v>41549</v>
      </c>
      <c r="E4906" s="4" t="s">
        <v>1857</v>
      </c>
      <c r="F4906" s="4" t="s">
        <v>1857</v>
      </c>
    </row>
    <row r="4907" spans="1:6" x14ac:dyDescent="0.25">
      <c r="A4907" s="4" t="str">
        <f>CONCATENATE("3071-0000-1172","")</f>
        <v>3071-0000-1172</v>
      </c>
      <c r="B4907" s="4" t="s">
        <v>1890</v>
      </c>
      <c r="C4907" s="5">
        <v>41489</v>
      </c>
      <c r="D4907" s="5">
        <v>41549</v>
      </c>
      <c r="E4907" s="4" t="s">
        <v>1857</v>
      </c>
      <c r="F4907" s="4" t="s">
        <v>1857</v>
      </c>
    </row>
    <row r="4908" spans="1:6" x14ac:dyDescent="0.25">
      <c r="A4908" s="4" t="str">
        <f>CONCATENATE("3071-0000-0870","")</f>
        <v>3071-0000-0870</v>
      </c>
      <c r="B4908" s="4" t="s">
        <v>1978</v>
      </c>
      <c r="C4908" s="5">
        <v>41489</v>
      </c>
      <c r="D4908" s="5">
        <v>41549</v>
      </c>
      <c r="E4908" s="4" t="s">
        <v>1857</v>
      </c>
      <c r="F4908" s="4" t="s">
        <v>1857</v>
      </c>
    </row>
    <row r="4909" spans="1:6" x14ac:dyDescent="0.25">
      <c r="A4909" s="4" t="str">
        <f>CONCATENATE("3071-0000-2786","")</f>
        <v>3071-0000-2786</v>
      </c>
      <c r="B4909" s="4" t="s">
        <v>957</v>
      </c>
      <c r="C4909" s="5">
        <v>41489</v>
      </c>
      <c r="D4909" s="5">
        <v>41549</v>
      </c>
      <c r="E4909" s="4" t="s">
        <v>7</v>
      </c>
      <c r="F4909" s="4" t="s">
        <v>808</v>
      </c>
    </row>
    <row r="4910" spans="1:6" x14ac:dyDescent="0.25">
      <c r="A4910" s="4" t="str">
        <f>CONCATENATE("3071-0000-7286","")</f>
        <v>3071-0000-7286</v>
      </c>
      <c r="B4910" s="4" t="s">
        <v>4293</v>
      </c>
      <c r="C4910" s="5">
        <v>41489</v>
      </c>
      <c r="D4910" s="5">
        <v>41549</v>
      </c>
      <c r="E4910" s="4" t="s">
        <v>1410</v>
      </c>
      <c r="F4910" s="4" t="s">
        <v>1410</v>
      </c>
    </row>
    <row r="4911" spans="1:6" x14ac:dyDescent="0.25">
      <c r="A4911" s="4" t="str">
        <f>CONCATENATE("3071-0000-3296","")</f>
        <v>3071-0000-3296</v>
      </c>
      <c r="B4911" s="4" t="s">
        <v>983</v>
      </c>
      <c r="C4911" s="5">
        <v>41489</v>
      </c>
      <c r="D4911" s="5">
        <v>41549</v>
      </c>
      <c r="E4911" s="4" t="s">
        <v>7</v>
      </c>
      <c r="F4911" s="4" t="s">
        <v>808</v>
      </c>
    </row>
    <row r="4912" spans="1:6" x14ac:dyDescent="0.25">
      <c r="A4912" s="4" t="str">
        <f>CONCATENATE("3071-0000-0744","")</f>
        <v>3071-0000-0744</v>
      </c>
      <c r="B4912" s="4" t="s">
        <v>710</v>
      </c>
      <c r="C4912" s="5">
        <v>41489</v>
      </c>
      <c r="D4912" s="5">
        <v>41549</v>
      </c>
      <c r="E4912" s="4" t="s">
        <v>7</v>
      </c>
      <c r="F4912" s="4" t="s">
        <v>7</v>
      </c>
    </row>
    <row r="4913" spans="1:6" x14ac:dyDescent="0.25">
      <c r="A4913" s="4" t="str">
        <f>CONCATENATE("3071-0000-9084","")</f>
        <v>3071-0000-9084</v>
      </c>
      <c r="B4913" s="4" t="s">
        <v>5255</v>
      </c>
      <c r="C4913" s="5">
        <v>41489</v>
      </c>
      <c r="D4913" s="5">
        <v>41549</v>
      </c>
      <c r="E4913" s="4" t="s">
        <v>5185</v>
      </c>
      <c r="F4913" s="4" t="s">
        <v>5185</v>
      </c>
    </row>
    <row r="4914" spans="1:6" x14ac:dyDescent="0.25">
      <c r="A4914" s="4" t="str">
        <f>CONCATENATE("3071-0000-7317","")</f>
        <v>3071-0000-7317</v>
      </c>
      <c r="B4914" s="4" t="s">
        <v>4711</v>
      </c>
      <c r="C4914" s="5">
        <v>41489</v>
      </c>
      <c r="D4914" s="5">
        <v>41549</v>
      </c>
      <c r="E4914" s="4" t="s">
        <v>1410</v>
      </c>
      <c r="F4914" s="4" t="s">
        <v>1410</v>
      </c>
    </row>
    <row r="4915" spans="1:6" x14ac:dyDescent="0.25">
      <c r="A4915" s="4" t="str">
        <f>CONCATENATE("3071-0000-9360","")</f>
        <v>3071-0000-9360</v>
      </c>
      <c r="B4915" s="4" t="s">
        <v>8441</v>
      </c>
      <c r="C4915" s="5">
        <v>41489</v>
      </c>
      <c r="D4915" s="5">
        <v>41549</v>
      </c>
      <c r="E4915" s="4" t="s">
        <v>1410</v>
      </c>
      <c r="F4915" s="4" t="s">
        <v>4459</v>
      </c>
    </row>
    <row r="4916" spans="1:6" x14ac:dyDescent="0.25">
      <c r="A4916" s="4" t="str">
        <f>CONCATENATE("3071-0000-6359","")</f>
        <v>3071-0000-6359</v>
      </c>
      <c r="B4916" s="4" t="s">
        <v>7880</v>
      </c>
      <c r="C4916" s="5">
        <v>41489</v>
      </c>
      <c r="D4916" s="5">
        <v>41549</v>
      </c>
      <c r="E4916" s="4" t="s">
        <v>5185</v>
      </c>
      <c r="F4916" s="4" t="s">
        <v>5185</v>
      </c>
    </row>
    <row r="4917" spans="1:6" x14ac:dyDescent="0.25">
      <c r="A4917" s="4" t="str">
        <f>CONCATENATE("3071-0000-7354","")</f>
        <v>3071-0000-7354</v>
      </c>
      <c r="B4917" s="4" t="s">
        <v>4365</v>
      </c>
      <c r="C4917" s="5">
        <v>41489</v>
      </c>
      <c r="D4917" s="5">
        <v>41549</v>
      </c>
      <c r="E4917" s="4" t="s">
        <v>1410</v>
      </c>
      <c r="F4917" s="4" t="s">
        <v>1410</v>
      </c>
    </row>
    <row r="4918" spans="1:6" x14ac:dyDescent="0.25">
      <c r="A4918" s="4" t="str">
        <f>CONCATENATE("3071-0000-2471","")</f>
        <v>3071-0000-2471</v>
      </c>
      <c r="B4918" s="4" t="s">
        <v>3209</v>
      </c>
      <c r="C4918" s="5">
        <v>41489</v>
      </c>
      <c r="D4918" s="5">
        <v>41549</v>
      </c>
      <c r="E4918" s="4" t="s">
        <v>2944</v>
      </c>
      <c r="F4918" s="4" t="s">
        <v>3164</v>
      </c>
    </row>
    <row r="4919" spans="1:6" x14ac:dyDescent="0.25">
      <c r="A4919" s="4" t="str">
        <f>CONCATENATE("3071-0000-1296","")</f>
        <v>3071-0000-1296</v>
      </c>
      <c r="B4919" s="4" t="s">
        <v>2408</v>
      </c>
      <c r="C4919" s="5">
        <v>41489</v>
      </c>
      <c r="D4919" s="5">
        <v>41549</v>
      </c>
      <c r="E4919" s="4" t="s">
        <v>1381</v>
      </c>
      <c r="F4919" s="4" t="s">
        <v>2303</v>
      </c>
    </row>
    <row r="4920" spans="1:6" x14ac:dyDescent="0.25">
      <c r="A4920" s="4" t="str">
        <f>CONCATENATE("3071-0000-3567","")</f>
        <v>3071-0000-3567</v>
      </c>
      <c r="B4920" s="4" t="s">
        <v>1743</v>
      </c>
      <c r="C4920" s="5">
        <v>41489</v>
      </c>
      <c r="D4920" s="5">
        <v>41549</v>
      </c>
      <c r="E4920" s="4" t="s">
        <v>1410</v>
      </c>
      <c r="F4920" s="4" t="s">
        <v>1411</v>
      </c>
    </row>
    <row r="4921" spans="1:6" x14ac:dyDescent="0.25">
      <c r="A4921" s="4" t="str">
        <f>CONCATENATE("3071-0000-7662","")</f>
        <v>3071-0000-7662</v>
      </c>
      <c r="B4921" s="4" t="s">
        <v>4883</v>
      </c>
      <c r="C4921" s="5">
        <v>41489</v>
      </c>
      <c r="D4921" s="5">
        <v>41549</v>
      </c>
      <c r="E4921" s="4" t="s">
        <v>1410</v>
      </c>
      <c r="F4921" s="4" t="s">
        <v>4655</v>
      </c>
    </row>
    <row r="4922" spans="1:6" x14ac:dyDescent="0.25">
      <c r="A4922" s="4" t="str">
        <f>CONCATENATE("3071-0000-3132","")</f>
        <v>3071-0000-3132</v>
      </c>
      <c r="B4922" s="4" t="s">
        <v>867</v>
      </c>
      <c r="C4922" s="5">
        <v>41489</v>
      </c>
      <c r="D4922" s="5">
        <v>41549</v>
      </c>
      <c r="E4922" s="4" t="s">
        <v>7</v>
      </c>
      <c r="F4922" s="4" t="s">
        <v>808</v>
      </c>
    </row>
    <row r="4923" spans="1:6" x14ac:dyDescent="0.25">
      <c r="A4923" s="4" t="str">
        <f>CONCATENATE("3071-0000-3278","")</f>
        <v>3071-0000-3278</v>
      </c>
      <c r="B4923" s="4" t="s">
        <v>1027</v>
      </c>
      <c r="C4923" s="5">
        <v>41489</v>
      </c>
      <c r="D4923" s="5">
        <v>41549</v>
      </c>
      <c r="E4923" s="4" t="s">
        <v>7</v>
      </c>
      <c r="F4923" s="4" t="s">
        <v>808</v>
      </c>
    </row>
    <row r="4924" spans="1:6" x14ac:dyDescent="0.25">
      <c r="A4924" s="4" t="str">
        <f>CONCATENATE("3071-0000-7014","")</f>
        <v>3071-0000-7014</v>
      </c>
      <c r="B4924" s="4" t="s">
        <v>4669</v>
      </c>
      <c r="C4924" s="5">
        <v>41489</v>
      </c>
      <c r="D4924" s="5">
        <v>41549</v>
      </c>
      <c r="E4924" s="4" t="s">
        <v>1410</v>
      </c>
      <c r="F4924" s="4" t="s">
        <v>1410</v>
      </c>
    </row>
    <row r="4925" spans="1:6" x14ac:dyDescent="0.25">
      <c r="A4925" s="4" t="str">
        <f>CONCATENATE("3071-0000-2804","")</f>
        <v>3071-0000-2804</v>
      </c>
      <c r="B4925" s="4" t="s">
        <v>1051</v>
      </c>
      <c r="C4925" s="5">
        <v>41489</v>
      </c>
      <c r="D4925" s="5">
        <v>41549</v>
      </c>
      <c r="E4925" s="4" t="s">
        <v>7</v>
      </c>
      <c r="F4925" s="4" t="s">
        <v>808</v>
      </c>
    </row>
    <row r="4926" spans="1:6" x14ac:dyDescent="0.25">
      <c r="A4926" s="4" t="str">
        <f>CONCATENATE("3071-0000-1166","")</f>
        <v>3071-0000-1166</v>
      </c>
      <c r="B4926" s="4" t="s">
        <v>2235</v>
      </c>
      <c r="C4926" s="5">
        <v>41489</v>
      </c>
      <c r="D4926" s="5">
        <v>41549</v>
      </c>
      <c r="E4926" s="4" t="s">
        <v>1381</v>
      </c>
      <c r="F4926" s="4" t="s">
        <v>2236</v>
      </c>
    </row>
    <row r="4927" spans="1:6" x14ac:dyDescent="0.25">
      <c r="A4927" s="4" t="str">
        <f>CONCATENATE("3071-0000-8556","")</f>
        <v>3071-0000-8556</v>
      </c>
      <c r="B4927" s="4" t="s">
        <v>6136</v>
      </c>
      <c r="C4927" s="5">
        <v>41489</v>
      </c>
      <c r="D4927" s="5">
        <v>41549</v>
      </c>
      <c r="E4927" s="4" t="s">
        <v>5185</v>
      </c>
      <c r="F4927" s="4" t="s">
        <v>5945</v>
      </c>
    </row>
    <row r="4928" spans="1:6" x14ac:dyDescent="0.25">
      <c r="A4928" s="4" t="str">
        <f>CONCATENATE("3071-0000-8452","")</f>
        <v>3071-0000-8452</v>
      </c>
      <c r="B4928" s="4" t="s">
        <v>6074</v>
      </c>
      <c r="C4928" s="5">
        <v>41489</v>
      </c>
      <c r="D4928" s="5">
        <v>41549</v>
      </c>
      <c r="E4928" s="4" t="s">
        <v>5185</v>
      </c>
      <c r="F4928" s="4" t="s">
        <v>5945</v>
      </c>
    </row>
    <row r="4929" spans="1:6" x14ac:dyDescent="0.25">
      <c r="A4929" s="4" t="str">
        <f>CONCATENATE("3071-0000-9189","")</f>
        <v>3071-0000-9189</v>
      </c>
      <c r="B4929" s="4" t="s">
        <v>6163</v>
      </c>
      <c r="C4929" s="5">
        <v>41489</v>
      </c>
      <c r="D4929" s="5">
        <v>41549</v>
      </c>
      <c r="E4929" s="4" t="s">
        <v>5185</v>
      </c>
      <c r="F4929" s="4" t="s">
        <v>5945</v>
      </c>
    </row>
    <row r="4930" spans="1:6" x14ac:dyDescent="0.25">
      <c r="A4930" s="4" t="str">
        <f>CONCATENATE("3071-0000-8115","")</f>
        <v>3071-0000-8115</v>
      </c>
      <c r="B4930" s="4" t="s">
        <v>5998</v>
      </c>
      <c r="C4930" s="5">
        <v>41489</v>
      </c>
      <c r="D4930" s="5">
        <v>41549</v>
      </c>
      <c r="E4930" s="4" t="s">
        <v>5185</v>
      </c>
      <c r="F4930" s="4" t="s">
        <v>5185</v>
      </c>
    </row>
    <row r="4931" spans="1:6" x14ac:dyDescent="0.25">
      <c r="A4931" s="4" t="str">
        <f>CONCATENATE("3071-0000-9192","")</f>
        <v>3071-0000-9192</v>
      </c>
      <c r="B4931" s="4" t="s">
        <v>6169</v>
      </c>
      <c r="C4931" s="5">
        <v>41489</v>
      </c>
      <c r="D4931" s="5">
        <v>41549</v>
      </c>
      <c r="E4931" s="4" t="s">
        <v>5185</v>
      </c>
      <c r="F4931" s="4" t="s">
        <v>5945</v>
      </c>
    </row>
    <row r="4932" spans="1:6" x14ac:dyDescent="0.25">
      <c r="A4932" s="4" t="str">
        <f>CONCATENATE("3071-0000-4365","")</f>
        <v>3071-0000-4365</v>
      </c>
      <c r="B4932" s="4" t="s">
        <v>9433</v>
      </c>
      <c r="C4932" s="5">
        <v>41489</v>
      </c>
      <c r="D4932" s="5">
        <v>41549</v>
      </c>
      <c r="E4932" s="4" t="s">
        <v>1410</v>
      </c>
      <c r="F4932" s="4" t="s">
        <v>8696</v>
      </c>
    </row>
    <row r="4933" spans="1:6" x14ac:dyDescent="0.25">
      <c r="A4933" s="4" t="str">
        <f>CONCATENATE("3071-0000-3334","")</f>
        <v>3071-0000-3334</v>
      </c>
      <c r="B4933" s="4" t="s">
        <v>1413</v>
      </c>
      <c r="C4933" s="5">
        <v>41489</v>
      </c>
      <c r="D4933" s="5">
        <v>41549</v>
      </c>
      <c r="E4933" s="4" t="s">
        <v>1410</v>
      </c>
      <c r="F4933" s="4" t="s">
        <v>1411</v>
      </c>
    </row>
    <row r="4934" spans="1:6" x14ac:dyDescent="0.25">
      <c r="A4934" s="4" t="str">
        <f>CONCATENATE("3071-0000-9293","")</f>
        <v>3071-0000-9293</v>
      </c>
      <c r="B4934" s="4" t="s">
        <v>8301</v>
      </c>
      <c r="C4934" s="5">
        <v>41489</v>
      </c>
      <c r="D4934" s="5">
        <v>41549</v>
      </c>
      <c r="E4934" s="4" t="s">
        <v>5185</v>
      </c>
      <c r="F4934" s="4" t="s">
        <v>5185</v>
      </c>
    </row>
    <row r="4935" spans="1:6" x14ac:dyDescent="0.25">
      <c r="A4935" s="4" t="str">
        <f>CONCATENATE("3071-0000-7653","")</f>
        <v>3071-0000-7653</v>
      </c>
      <c r="B4935" s="4" t="s">
        <v>4886</v>
      </c>
      <c r="C4935" s="5">
        <v>41489</v>
      </c>
      <c r="D4935" s="5">
        <v>41549</v>
      </c>
      <c r="E4935" s="4" t="s">
        <v>1410</v>
      </c>
      <c r="F4935" s="4" t="s">
        <v>4655</v>
      </c>
    </row>
    <row r="4936" spans="1:6" x14ac:dyDescent="0.25">
      <c r="A4936" s="4" t="str">
        <f>CONCATENATE("3071-0000-8223","")</f>
        <v>3071-0000-8223</v>
      </c>
      <c r="B4936" s="4" t="s">
        <v>5715</v>
      </c>
      <c r="C4936" s="5">
        <v>41489</v>
      </c>
      <c r="D4936" s="5">
        <v>41549</v>
      </c>
      <c r="E4936" s="4" t="s">
        <v>5185</v>
      </c>
      <c r="F4936" s="4" t="s">
        <v>5185</v>
      </c>
    </row>
    <row r="4937" spans="1:6" x14ac:dyDescent="0.25">
      <c r="A4937" s="4" t="str">
        <f>CONCATENATE("3071-0000-7539","")</f>
        <v>3071-0000-7539</v>
      </c>
      <c r="B4937" s="4" t="s">
        <v>4803</v>
      </c>
      <c r="C4937" s="5">
        <v>41489</v>
      </c>
      <c r="D4937" s="5">
        <v>41549</v>
      </c>
      <c r="E4937" s="4" t="s">
        <v>1410</v>
      </c>
      <c r="F4937" s="4" t="s">
        <v>1410</v>
      </c>
    </row>
    <row r="4938" spans="1:6" x14ac:dyDescent="0.25">
      <c r="A4938" s="4" t="str">
        <f>CONCATENATE("3071-0000-3353","")</f>
        <v>3071-0000-3353</v>
      </c>
      <c r="B4938" s="4" t="s">
        <v>1482</v>
      </c>
      <c r="C4938" s="5">
        <v>41489</v>
      </c>
      <c r="D4938" s="5">
        <v>41549</v>
      </c>
      <c r="E4938" s="4" t="s">
        <v>1410</v>
      </c>
      <c r="F4938" s="4" t="s">
        <v>1411</v>
      </c>
    </row>
    <row r="4939" spans="1:6" x14ac:dyDescent="0.25">
      <c r="A4939" s="4" t="str">
        <f>CONCATENATE("3071-0000-6432","")</f>
        <v>3071-0000-6432</v>
      </c>
      <c r="B4939" s="4" t="s">
        <v>8138</v>
      </c>
      <c r="C4939" s="5">
        <v>41489</v>
      </c>
      <c r="D4939" s="5">
        <v>41549</v>
      </c>
      <c r="E4939" s="4" t="s">
        <v>5185</v>
      </c>
      <c r="F4939" s="4" t="s">
        <v>5185</v>
      </c>
    </row>
    <row r="4940" spans="1:6" x14ac:dyDescent="0.25">
      <c r="A4940" s="4" t="str">
        <f>CONCATENATE("3071-0000-7778","")</f>
        <v>3071-0000-7778</v>
      </c>
      <c r="B4940" s="4" t="s">
        <v>4434</v>
      </c>
      <c r="C4940" s="5">
        <v>41489</v>
      </c>
      <c r="D4940" s="5">
        <v>41549</v>
      </c>
      <c r="E4940" s="4" t="s">
        <v>1410</v>
      </c>
      <c r="F4940" s="4" t="s">
        <v>1410</v>
      </c>
    </row>
    <row r="4941" spans="1:6" x14ac:dyDescent="0.25">
      <c r="A4941" s="4" t="str">
        <f>CONCATENATE("3071-0000-6007","")</f>
        <v>3071-0000-6007</v>
      </c>
      <c r="B4941" s="4" t="s">
        <v>7349</v>
      </c>
      <c r="C4941" s="5">
        <v>41489</v>
      </c>
      <c r="D4941" s="5">
        <v>41549</v>
      </c>
      <c r="E4941" s="4" t="s">
        <v>5185</v>
      </c>
      <c r="F4941" s="4" t="s">
        <v>5185</v>
      </c>
    </row>
    <row r="4942" spans="1:6" x14ac:dyDescent="0.25">
      <c r="A4942" s="4" t="str">
        <f>CONCATENATE("3071-0000-4020","")</f>
        <v>3071-0000-4020</v>
      </c>
      <c r="B4942" s="4" t="s">
        <v>4225</v>
      </c>
      <c r="C4942" s="5">
        <v>41489</v>
      </c>
      <c r="D4942" s="5">
        <v>41549</v>
      </c>
      <c r="E4942" s="4" t="s">
        <v>7</v>
      </c>
      <c r="F4942" s="4" t="s">
        <v>1419</v>
      </c>
    </row>
    <row r="4943" spans="1:6" x14ac:dyDescent="0.25">
      <c r="A4943" s="4" t="str">
        <f>CONCATENATE("3071-0000-5196","")</f>
        <v>3071-0000-5196</v>
      </c>
      <c r="B4943" s="4" t="s">
        <v>8732</v>
      </c>
      <c r="C4943" s="5">
        <v>41489</v>
      </c>
      <c r="D4943" s="5">
        <v>41549</v>
      </c>
      <c r="E4943" s="4" t="s">
        <v>1410</v>
      </c>
      <c r="F4943" s="4" t="s">
        <v>8696</v>
      </c>
    </row>
    <row r="4944" spans="1:6" x14ac:dyDescent="0.25">
      <c r="A4944" s="4" t="str">
        <f>CONCATENATE("3071-0000-0104","")</f>
        <v>3071-0000-0104</v>
      </c>
      <c r="B4944" s="4" t="s">
        <v>205</v>
      </c>
      <c r="C4944" s="5">
        <v>41489</v>
      </c>
      <c r="D4944" s="5">
        <v>41549</v>
      </c>
      <c r="E4944" s="4" t="s">
        <v>7</v>
      </c>
      <c r="F4944" s="4" t="s">
        <v>7</v>
      </c>
    </row>
    <row r="4945" spans="1:6" x14ac:dyDescent="0.25">
      <c r="A4945" s="4" t="str">
        <f>CONCATENATE("3071-0000-5207","")</f>
        <v>3071-0000-5207</v>
      </c>
      <c r="B4945" s="4" t="s">
        <v>8738</v>
      </c>
      <c r="C4945" s="5">
        <v>41489</v>
      </c>
      <c r="D4945" s="5">
        <v>41549</v>
      </c>
      <c r="E4945" s="4" t="s">
        <v>1410</v>
      </c>
      <c r="F4945" s="4" t="s">
        <v>8696</v>
      </c>
    </row>
    <row r="4946" spans="1:6" x14ac:dyDescent="0.25">
      <c r="A4946" s="4" t="str">
        <f>CONCATENATE("3071-0000-4017","")</f>
        <v>3071-0000-4017</v>
      </c>
      <c r="B4946" s="4" t="s">
        <v>4241</v>
      </c>
      <c r="C4946" s="5">
        <v>41489</v>
      </c>
      <c r="D4946" s="5">
        <v>41549</v>
      </c>
      <c r="E4946" s="4" t="s">
        <v>7</v>
      </c>
      <c r="F4946" s="4" t="s">
        <v>1419</v>
      </c>
    </row>
    <row r="4947" spans="1:6" x14ac:dyDescent="0.25">
      <c r="A4947" s="4" t="str">
        <f>CONCATENATE("3071-0000-4035","")</f>
        <v>3071-0000-4035</v>
      </c>
      <c r="B4947" s="4" t="s">
        <v>4236</v>
      </c>
      <c r="C4947" s="5">
        <v>41489</v>
      </c>
      <c r="D4947" s="5">
        <v>41549</v>
      </c>
      <c r="E4947" s="4" t="s">
        <v>7</v>
      </c>
      <c r="F4947" s="4" t="s">
        <v>1419</v>
      </c>
    </row>
    <row r="4948" spans="1:6" x14ac:dyDescent="0.25">
      <c r="A4948" s="4" t="str">
        <f>CONCATENATE("3071-0000-4243","")</f>
        <v>3071-0000-4243</v>
      </c>
      <c r="B4948" s="4" t="s">
        <v>8712</v>
      </c>
      <c r="C4948" s="5">
        <v>41489</v>
      </c>
      <c r="D4948" s="5">
        <v>41549</v>
      </c>
      <c r="E4948" s="4" t="s">
        <v>1410</v>
      </c>
      <c r="F4948" s="4" t="s">
        <v>8696</v>
      </c>
    </row>
    <row r="4949" spans="1:6" x14ac:dyDescent="0.25">
      <c r="A4949" s="4" t="str">
        <f>CONCATENATE("3071-0000-4239","")</f>
        <v>3071-0000-4239</v>
      </c>
      <c r="B4949" s="4" t="s">
        <v>8718</v>
      </c>
      <c r="C4949" s="5">
        <v>41489</v>
      </c>
      <c r="D4949" s="5">
        <v>41549</v>
      </c>
      <c r="E4949" s="4" t="s">
        <v>1410</v>
      </c>
      <c r="F4949" s="4" t="s">
        <v>8696</v>
      </c>
    </row>
    <row r="4950" spans="1:6" x14ac:dyDescent="0.25">
      <c r="A4950" s="4" t="str">
        <f>CONCATENATE("3071-0000-5559","")</f>
        <v>3071-0000-5559</v>
      </c>
      <c r="B4950" s="4" t="s">
        <v>7398</v>
      </c>
      <c r="C4950" s="5">
        <v>41489</v>
      </c>
      <c r="D4950" s="5">
        <v>41549</v>
      </c>
      <c r="E4950" s="4" t="s">
        <v>5185</v>
      </c>
      <c r="F4950" s="4" t="s">
        <v>5185</v>
      </c>
    </row>
    <row r="4951" spans="1:6" x14ac:dyDescent="0.25">
      <c r="A4951" s="4" t="str">
        <f>CONCATENATE("3071-0000-5656","")</f>
        <v>3071-0000-5656</v>
      </c>
      <c r="B4951" s="4" t="s">
        <v>6954</v>
      </c>
      <c r="C4951" s="5">
        <v>41489</v>
      </c>
      <c r="D4951" s="5">
        <v>41549</v>
      </c>
      <c r="E4951" s="4" t="s">
        <v>5185</v>
      </c>
      <c r="F4951" s="4" t="s">
        <v>5185</v>
      </c>
    </row>
    <row r="4952" spans="1:6" x14ac:dyDescent="0.25">
      <c r="A4952" s="4" t="str">
        <f>CONCATENATE("3071-0000-5836","")</f>
        <v>3071-0000-5836</v>
      </c>
      <c r="B4952" s="4" t="s">
        <v>7325</v>
      </c>
      <c r="C4952" s="5">
        <v>41489</v>
      </c>
      <c r="D4952" s="5">
        <v>41549</v>
      </c>
      <c r="E4952" s="4" t="s">
        <v>5185</v>
      </c>
      <c r="F4952" s="4" t="s">
        <v>5185</v>
      </c>
    </row>
    <row r="4953" spans="1:6" x14ac:dyDescent="0.25">
      <c r="A4953" s="4" t="str">
        <f>CONCATENATE("3071-0000-7895","")</f>
        <v>3071-0000-7895</v>
      </c>
      <c r="B4953" s="4" t="s">
        <v>5486</v>
      </c>
      <c r="C4953" s="5">
        <v>41489</v>
      </c>
      <c r="D4953" s="5">
        <v>41549</v>
      </c>
      <c r="E4953" s="4" t="s">
        <v>5185</v>
      </c>
      <c r="F4953" s="4" t="s">
        <v>5185</v>
      </c>
    </row>
    <row r="4954" spans="1:6" x14ac:dyDescent="0.25">
      <c r="A4954" s="4" t="str">
        <f>CONCATENATE("3071-0000-5766","")</f>
        <v>3071-0000-5766</v>
      </c>
      <c r="B4954" s="4" t="s">
        <v>7019</v>
      </c>
      <c r="C4954" s="5">
        <v>41489</v>
      </c>
      <c r="D4954" s="5">
        <v>41549</v>
      </c>
      <c r="E4954" s="4" t="s">
        <v>5185</v>
      </c>
      <c r="F4954" s="4" t="s">
        <v>5185</v>
      </c>
    </row>
    <row r="4955" spans="1:6" x14ac:dyDescent="0.25">
      <c r="A4955" s="4" t="str">
        <f>CONCATENATE("3071-0000-5417","")</f>
        <v>3071-0000-5417</v>
      </c>
      <c r="B4955" s="4" t="s">
        <v>6908</v>
      </c>
      <c r="C4955" s="5">
        <v>41489</v>
      </c>
      <c r="D4955" s="5">
        <v>41549</v>
      </c>
      <c r="E4955" s="4" t="s">
        <v>5185</v>
      </c>
      <c r="F4955" s="4" t="s">
        <v>5185</v>
      </c>
    </row>
    <row r="4956" spans="1:6" x14ac:dyDescent="0.25">
      <c r="A4956" s="4" t="str">
        <f>CONCATENATE("3071-0000-1652","")</f>
        <v>3071-0000-1652</v>
      </c>
      <c r="B4956" s="4" t="s">
        <v>2820</v>
      </c>
      <c r="C4956" s="5">
        <v>41489</v>
      </c>
      <c r="D4956" s="5">
        <v>41549</v>
      </c>
      <c r="E4956" s="4" t="s">
        <v>1381</v>
      </c>
      <c r="F4956" s="4" t="s">
        <v>2303</v>
      </c>
    </row>
    <row r="4957" spans="1:6" x14ac:dyDescent="0.25">
      <c r="A4957" s="4" t="str">
        <f>CONCATENATE("3071-0000-5533","")</f>
        <v>3071-0000-5533</v>
      </c>
      <c r="B4957" s="4" t="s">
        <v>7339</v>
      </c>
      <c r="C4957" s="5">
        <v>41489</v>
      </c>
      <c r="D4957" s="5">
        <v>41549</v>
      </c>
      <c r="E4957" s="4" t="s">
        <v>5185</v>
      </c>
      <c r="F4957" s="4" t="s">
        <v>5185</v>
      </c>
    </row>
    <row r="4958" spans="1:6" x14ac:dyDescent="0.25">
      <c r="A4958" s="4" t="str">
        <f>CONCATENATE("3071-0000-5558","")</f>
        <v>3071-0000-5558</v>
      </c>
      <c r="B4958" s="4" t="s">
        <v>7400</v>
      </c>
      <c r="C4958" s="5">
        <v>41489</v>
      </c>
      <c r="D4958" s="5">
        <v>41549</v>
      </c>
      <c r="E4958" s="4" t="s">
        <v>5185</v>
      </c>
      <c r="F4958" s="4" t="s">
        <v>5185</v>
      </c>
    </row>
    <row r="4959" spans="1:6" x14ac:dyDescent="0.25">
      <c r="A4959" s="4" t="str">
        <f>CONCATENATE("3071-0000-1736","")</f>
        <v>3071-0000-1736</v>
      </c>
      <c r="B4959" s="4" t="s">
        <v>2736</v>
      </c>
      <c r="C4959" s="5">
        <v>41489</v>
      </c>
      <c r="D4959" s="5">
        <v>41549</v>
      </c>
      <c r="E4959" s="4" t="s">
        <v>1381</v>
      </c>
      <c r="F4959" s="4" t="s">
        <v>2662</v>
      </c>
    </row>
    <row r="4960" spans="1:6" x14ac:dyDescent="0.25">
      <c r="A4960" s="4" t="str">
        <f>CONCATENATE("3071-0000-1752","")</f>
        <v>3071-0000-1752</v>
      </c>
      <c r="B4960" s="4" t="s">
        <v>2738</v>
      </c>
      <c r="C4960" s="5">
        <v>41489</v>
      </c>
      <c r="D4960" s="5">
        <v>41549</v>
      </c>
      <c r="E4960" s="4" t="s">
        <v>1381</v>
      </c>
      <c r="F4960" s="4" t="s">
        <v>2662</v>
      </c>
    </row>
    <row r="4961" spans="1:6" x14ac:dyDescent="0.25">
      <c r="A4961" s="4" t="str">
        <f>CONCATENATE("3071-0000-1624","")</f>
        <v>3071-0000-1624</v>
      </c>
      <c r="B4961" s="4" t="s">
        <v>2695</v>
      </c>
      <c r="C4961" s="5">
        <v>41489</v>
      </c>
      <c r="D4961" s="5">
        <v>41549</v>
      </c>
      <c r="E4961" s="4" t="s">
        <v>1381</v>
      </c>
      <c r="F4961" s="4" t="s">
        <v>2303</v>
      </c>
    </row>
    <row r="4962" spans="1:6" x14ac:dyDescent="0.25">
      <c r="A4962" s="4" t="str">
        <f>CONCATENATE("3071-0000-1830","")</f>
        <v>3071-0000-1830</v>
      </c>
      <c r="B4962" s="4" t="s">
        <v>2699</v>
      </c>
      <c r="C4962" s="5">
        <v>41489</v>
      </c>
      <c r="D4962" s="5">
        <v>41549</v>
      </c>
      <c r="E4962" s="4" t="s">
        <v>1381</v>
      </c>
      <c r="F4962" s="4" t="s">
        <v>2662</v>
      </c>
    </row>
    <row r="4963" spans="1:6" x14ac:dyDescent="0.25">
      <c r="A4963" s="4" t="str">
        <f>CONCATENATE("3071-0000-1982","")</f>
        <v>3071-0000-1982</v>
      </c>
      <c r="B4963" s="4" t="s">
        <v>3120</v>
      </c>
      <c r="C4963" s="5">
        <v>41489</v>
      </c>
      <c r="D4963" s="5">
        <v>41549</v>
      </c>
      <c r="E4963" s="4" t="s">
        <v>2944</v>
      </c>
      <c r="F4963" s="4" t="s">
        <v>2945</v>
      </c>
    </row>
    <row r="4964" spans="1:6" x14ac:dyDescent="0.25">
      <c r="A4964" s="4" t="str">
        <f>CONCATENATE("3071-0000-1986","")</f>
        <v>3071-0000-1986</v>
      </c>
      <c r="B4964" s="4" t="s">
        <v>3127</v>
      </c>
      <c r="C4964" s="5">
        <v>41489</v>
      </c>
      <c r="D4964" s="5">
        <v>41549</v>
      </c>
      <c r="E4964" s="4" t="s">
        <v>2944</v>
      </c>
      <c r="F4964" s="4" t="s">
        <v>2945</v>
      </c>
    </row>
    <row r="4965" spans="1:6" x14ac:dyDescent="0.25">
      <c r="A4965" s="4" t="str">
        <f>CONCATENATE("3071-0000-2262","")</f>
        <v>3071-0000-2262</v>
      </c>
      <c r="B4965" s="4" t="s">
        <v>3394</v>
      </c>
      <c r="C4965" s="5">
        <v>41489</v>
      </c>
      <c r="D4965" s="5">
        <v>41549</v>
      </c>
      <c r="E4965" s="4" t="s">
        <v>2944</v>
      </c>
      <c r="F4965" s="4" t="s">
        <v>2945</v>
      </c>
    </row>
    <row r="4966" spans="1:6" x14ac:dyDescent="0.25">
      <c r="A4966" s="4" t="str">
        <f>CONCATENATE("3071-0000-2047","")</f>
        <v>3071-0000-2047</v>
      </c>
      <c r="B4966" s="4" t="s">
        <v>3341</v>
      </c>
      <c r="C4966" s="5">
        <v>41489</v>
      </c>
      <c r="D4966" s="5">
        <v>41549</v>
      </c>
      <c r="E4966" s="4" t="s">
        <v>2944</v>
      </c>
      <c r="F4966" s="4" t="s">
        <v>2945</v>
      </c>
    </row>
    <row r="4967" spans="1:6" x14ac:dyDescent="0.25">
      <c r="A4967" s="4" t="str">
        <f>CONCATENATE("3071-0000-2037","")</f>
        <v>3071-0000-2037</v>
      </c>
      <c r="B4967" s="4" t="s">
        <v>3333</v>
      </c>
      <c r="C4967" s="5">
        <v>41489</v>
      </c>
      <c r="D4967" s="5">
        <v>41549</v>
      </c>
      <c r="E4967" s="4" t="s">
        <v>2944</v>
      </c>
      <c r="F4967" s="4" t="s">
        <v>2945</v>
      </c>
    </row>
    <row r="4968" spans="1:6" x14ac:dyDescent="0.25">
      <c r="A4968" s="4" t="str">
        <f>CONCATENATE("3071-0000-0677","")</f>
        <v>3071-0000-0677</v>
      </c>
      <c r="B4968" s="4" t="s">
        <v>589</v>
      </c>
      <c r="C4968" s="5">
        <v>41489</v>
      </c>
      <c r="D4968" s="5">
        <v>41549</v>
      </c>
      <c r="E4968" s="4" t="s">
        <v>7</v>
      </c>
      <c r="F4968" s="4" t="s">
        <v>7</v>
      </c>
    </row>
    <row r="4969" spans="1:6" x14ac:dyDescent="0.25">
      <c r="A4969" s="4" t="str">
        <f>CONCATENATE("3071-0000-2712","")</f>
        <v>3071-0000-2712</v>
      </c>
      <c r="B4969" s="4" t="s">
        <v>3346</v>
      </c>
      <c r="C4969" s="5">
        <v>41489</v>
      </c>
      <c r="D4969" s="5">
        <v>41549</v>
      </c>
      <c r="E4969" s="4" t="s">
        <v>1857</v>
      </c>
      <c r="F4969" s="4" t="s">
        <v>3306</v>
      </c>
    </row>
    <row r="4970" spans="1:6" x14ac:dyDescent="0.25">
      <c r="A4970" s="4" t="str">
        <f>CONCATENATE("3071-0000-2250","")</f>
        <v>3071-0000-2250</v>
      </c>
      <c r="B4970" s="4" t="s">
        <v>3324</v>
      </c>
      <c r="C4970" s="5">
        <v>41489</v>
      </c>
      <c r="D4970" s="5">
        <v>41549</v>
      </c>
      <c r="E4970" s="4" t="s">
        <v>2944</v>
      </c>
      <c r="F4970" s="4" t="s">
        <v>2945</v>
      </c>
    </row>
    <row r="4971" spans="1:6" x14ac:dyDescent="0.25">
      <c r="A4971" s="4" t="str">
        <f>CONCATENATE("3071-0000-2454","")</f>
        <v>3071-0000-2454</v>
      </c>
      <c r="B4971" s="4" t="s">
        <v>3372</v>
      </c>
      <c r="C4971" s="5">
        <v>41489</v>
      </c>
      <c r="D4971" s="5">
        <v>41549</v>
      </c>
      <c r="E4971" s="4" t="s">
        <v>1857</v>
      </c>
      <c r="F4971" s="4" t="s">
        <v>3306</v>
      </c>
    </row>
    <row r="4972" spans="1:6" x14ac:dyDescent="0.25">
      <c r="A4972" s="4" t="str">
        <f>CONCATENATE("3071-0000-1085","")</f>
        <v>3071-0000-1085</v>
      </c>
      <c r="B4972" s="4" t="s">
        <v>1983</v>
      </c>
      <c r="C4972" s="5">
        <v>41489</v>
      </c>
      <c r="D4972" s="5">
        <v>41549</v>
      </c>
      <c r="E4972" s="4" t="s">
        <v>1857</v>
      </c>
      <c r="F4972" s="4" t="s">
        <v>1857</v>
      </c>
    </row>
    <row r="4973" spans="1:6" x14ac:dyDescent="0.25">
      <c r="A4973" s="4" t="str">
        <f>CONCATENATE("3071-0000-1050","")</f>
        <v>3071-0000-1050</v>
      </c>
      <c r="B4973" s="4" t="s">
        <v>1981</v>
      </c>
      <c r="C4973" s="5">
        <v>41489</v>
      </c>
      <c r="D4973" s="5">
        <v>41549</v>
      </c>
      <c r="E4973" s="4" t="s">
        <v>1857</v>
      </c>
      <c r="F4973" s="4" t="s">
        <v>1857</v>
      </c>
    </row>
    <row r="4974" spans="1:6" x14ac:dyDescent="0.25">
      <c r="A4974" s="4" t="str">
        <f>CONCATENATE("3071-0000-8163","")</f>
        <v>3071-0000-8163</v>
      </c>
      <c r="B4974" s="4" t="s">
        <v>5635</v>
      </c>
      <c r="C4974" s="5">
        <v>41489</v>
      </c>
      <c r="D4974" s="5">
        <v>41549</v>
      </c>
      <c r="E4974" s="4" t="s">
        <v>5185</v>
      </c>
      <c r="F4974" s="4" t="s">
        <v>5185</v>
      </c>
    </row>
    <row r="4975" spans="1:6" x14ac:dyDescent="0.25">
      <c r="A4975" s="4" t="str">
        <f>CONCATENATE("3071-0000-4149","")</f>
        <v>3071-0000-4149</v>
      </c>
      <c r="B4975" s="4" t="s">
        <v>4046</v>
      </c>
      <c r="C4975" s="5">
        <v>41489</v>
      </c>
      <c r="D4975" s="5">
        <v>41549</v>
      </c>
      <c r="E4975" s="4" t="s">
        <v>1381</v>
      </c>
      <c r="F4975" s="4" t="s">
        <v>4044</v>
      </c>
    </row>
    <row r="4976" spans="1:6" x14ac:dyDescent="0.25">
      <c r="A4976" s="4" t="str">
        <f>CONCATENATE("3071-0000-7518","")</f>
        <v>3071-0000-7518</v>
      </c>
      <c r="B4976" s="4" t="s">
        <v>4409</v>
      </c>
      <c r="C4976" s="5">
        <v>41489</v>
      </c>
      <c r="D4976" s="5">
        <v>41549</v>
      </c>
      <c r="E4976" s="4" t="s">
        <v>1410</v>
      </c>
      <c r="F4976" s="4" t="s">
        <v>1410</v>
      </c>
    </row>
    <row r="4977" spans="1:6" x14ac:dyDescent="0.25">
      <c r="A4977" s="4" t="str">
        <f>CONCATENATE("3071-0000-5786","")</f>
        <v>3071-0000-5786</v>
      </c>
      <c r="B4977" s="4" t="s">
        <v>7027</v>
      </c>
      <c r="C4977" s="5">
        <v>41489</v>
      </c>
      <c r="D4977" s="5">
        <v>41549</v>
      </c>
      <c r="E4977" s="4" t="s">
        <v>5185</v>
      </c>
      <c r="F4977" s="4" t="s">
        <v>5185</v>
      </c>
    </row>
    <row r="4978" spans="1:6" x14ac:dyDescent="0.25">
      <c r="A4978" s="4" t="str">
        <f>CONCATENATE("3071-0000-5639","")</f>
        <v>3071-0000-5639</v>
      </c>
      <c r="B4978" s="4" t="s">
        <v>7263</v>
      </c>
      <c r="C4978" s="5">
        <v>41489</v>
      </c>
      <c r="D4978" s="5">
        <v>41549</v>
      </c>
      <c r="E4978" s="4" t="s">
        <v>5185</v>
      </c>
      <c r="F4978" s="4" t="s">
        <v>5185</v>
      </c>
    </row>
    <row r="4979" spans="1:6" x14ac:dyDescent="0.25">
      <c r="A4979" s="4" t="str">
        <f>CONCATENATE("3071-0000-1786","")</f>
        <v>3071-0000-1786</v>
      </c>
      <c r="B4979" s="4" t="s">
        <v>2706</v>
      </c>
      <c r="C4979" s="5">
        <v>41489</v>
      </c>
      <c r="D4979" s="5">
        <v>41549</v>
      </c>
      <c r="E4979" s="4" t="s">
        <v>1381</v>
      </c>
      <c r="F4979" s="4" t="s">
        <v>2662</v>
      </c>
    </row>
    <row r="4980" spans="1:6" x14ac:dyDescent="0.25">
      <c r="A4980" s="4" t="str">
        <f>CONCATENATE("3071-0000-1643","")</f>
        <v>3071-0000-1643</v>
      </c>
      <c r="B4980" s="4" t="s">
        <v>2702</v>
      </c>
      <c r="C4980" s="5">
        <v>41489</v>
      </c>
      <c r="D4980" s="5">
        <v>41549</v>
      </c>
      <c r="E4980" s="4" t="s">
        <v>1381</v>
      </c>
      <c r="F4980" s="4" t="s">
        <v>2303</v>
      </c>
    </row>
    <row r="4981" spans="1:6" x14ac:dyDescent="0.25">
      <c r="A4981" s="4" t="str">
        <f>CONCATENATE("3071-0000-1358","")</f>
        <v>3071-0000-1358</v>
      </c>
      <c r="B4981" s="4" t="s">
        <v>2505</v>
      </c>
      <c r="C4981" s="5">
        <v>41489</v>
      </c>
      <c r="D4981" s="5">
        <v>41549</v>
      </c>
      <c r="E4981" s="4" t="s">
        <v>1381</v>
      </c>
      <c r="F4981" s="4" t="s">
        <v>2303</v>
      </c>
    </row>
    <row r="4982" spans="1:6" x14ac:dyDescent="0.25">
      <c r="A4982" s="4" t="str">
        <f>CONCATENATE("3071-0000-1468","")</f>
        <v>3071-0000-1468</v>
      </c>
      <c r="B4982" s="4" t="s">
        <v>2914</v>
      </c>
      <c r="C4982" s="5">
        <v>41489</v>
      </c>
      <c r="D4982" s="5">
        <v>41549</v>
      </c>
      <c r="E4982" s="4" t="s">
        <v>1381</v>
      </c>
      <c r="F4982" s="4" t="s">
        <v>2303</v>
      </c>
    </row>
    <row r="4983" spans="1:6" x14ac:dyDescent="0.25">
      <c r="A4983" s="4" t="str">
        <f>CONCATENATE("3071-0000-0403","")</f>
        <v>3071-0000-0403</v>
      </c>
      <c r="B4983" s="4" t="s">
        <v>686</v>
      </c>
      <c r="C4983" s="5">
        <v>41489</v>
      </c>
      <c r="D4983" s="5">
        <v>41549</v>
      </c>
      <c r="E4983" s="4" t="s">
        <v>7</v>
      </c>
      <c r="F4983" s="4" t="s">
        <v>7</v>
      </c>
    </row>
    <row r="4984" spans="1:6" x14ac:dyDescent="0.25">
      <c r="A4984" s="4" t="str">
        <f>CONCATENATE("3071-0000-4966","")</f>
        <v>3071-0000-4966</v>
      </c>
      <c r="B4984" s="4" t="s">
        <v>9166</v>
      </c>
      <c r="C4984" s="5">
        <v>41489</v>
      </c>
      <c r="D4984" s="5">
        <v>41549</v>
      </c>
      <c r="E4984" s="4" t="s">
        <v>7069</v>
      </c>
      <c r="F4984" s="4" t="s">
        <v>7070</v>
      </c>
    </row>
    <row r="4985" spans="1:6" x14ac:dyDescent="0.25">
      <c r="A4985" s="4" t="str">
        <f>CONCATENATE("3071-0000-4955","")</f>
        <v>3071-0000-4955</v>
      </c>
      <c r="B4985" s="4" t="s">
        <v>9162</v>
      </c>
      <c r="C4985" s="5">
        <v>41489</v>
      </c>
      <c r="D4985" s="5">
        <v>41549</v>
      </c>
      <c r="E4985" s="4" t="s">
        <v>7069</v>
      </c>
      <c r="F4985" s="4" t="s">
        <v>7070</v>
      </c>
    </row>
    <row r="4986" spans="1:6" x14ac:dyDescent="0.25">
      <c r="A4986" s="4" t="str">
        <f>CONCATENATE("3071-0000-1614","")</f>
        <v>3071-0000-1614</v>
      </c>
      <c r="B4986" s="4" t="s">
        <v>2676</v>
      </c>
      <c r="C4986" s="5">
        <v>41489</v>
      </c>
      <c r="D4986" s="5">
        <v>41549</v>
      </c>
      <c r="E4986" s="4" t="s">
        <v>1381</v>
      </c>
      <c r="F4986" s="4" t="s">
        <v>2303</v>
      </c>
    </row>
    <row r="4987" spans="1:6" x14ac:dyDescent="0.25">
      <c r="A4987" s="4" t="str">
        <f>CONCATENATE("3071-0000-1000","")</f>
        <v>3071-0000-1000</v>
      </c>
      <c r="B4987" s="4" t="s">
        <v>2219</v>
      </c>
      <c r="C4987" s="5">
        <v>41489</v>
      </c>
      <c r="D4987" s="5">
        <v>41549</v>
      </c>
      <c r="E4987" s="4" t="s">
        <v>1857</v>
      </c>
      <c r="F4987" s="4" t="s">
        <v>1857</v>
      </c>
    </row>
    <row r="4988" spans="1:6" x14ac:dyDescent="0.25">
      <c r="A4988" s="4" t="str">
        <f>CONCATENATE("3071-0000-1618","")</f>
        <v>3071-0000-1618</v>
      </c>
      <c r="B4988" s="4" t="s">
        <v>2895</v>
      </c>
      <c r="C4988" s="5">
        <v>41489</v>
      </c>
      <c r="D4988" s="5">
        <v>41549</v>
      </c>
      <c r="E4988" s="4" t="s">
        <v>1381</v>
      </c>
      <c r="F4988" s="4" t="s">
        <v>2303</v>
      </c>
    </row>
    <row r="4989" spans="1:6" x14ac:dyDescent="0.25">
      <c r="A4989" s="4" t="str">
        <f>CONCATENATE("3071-0000-1651","")</f>
        <v>3071-0000-1651</v>
      </c>
      <c r="B4989" s="4" t="s">
        <v>2719</v>
      </c>
      <c r="C4989" s="5">
        <v>41489</v>
      </c>
      <c r="D4989" s="5">
        <v>41549</v>
      </c>
      <c r="E4989" s="4" t="s">
        <v>1381</v>
      </c>
      <c r="F4989" s="4" t="s">
        <v>2303</v>
      </c>
    </row>
    <row r="4990" spans="1:6" x14ac:dyDescent="0.25">
      <c r="A4990" s="4" t="str">
        <f>CONCATENATE("3071-0000-1647","")</f>
        <v>3071-0000-1647</v>
      </c>
      <c r="B4990" s="4" t="s">
        <v>2712</v>
      </c>
      <c r="C4990" s="5">
        <v>41489</v>
      </c>
      <c r="D4990" s="5">
        <v>41549</v>
      </c>
      <c r="E4990" s="4" t="s">
        <v>1381</v>
      </c>
      <c r="F4990" s="4" t="s">
        <v>2303</v>
      </c>
    </row>
    <row r="4991" spans="1:6" x14ac:dyDescent="0.25">
      <c r="A4991" s="4" t="str">
        <f>CONCATENATE("3071-0000-1251","")</f>
        <v>3071-0000-1251</v>
      </c>
      <c r="B4991" s="4" t="s">
        <v>2939</v>
      </c>
      <c r="C4991" s="5">
        <v>41489</v>
      </c>
      <c r="D4991" s="5">
        <v>41549</v>
      </c>
      <c r="E4991" s="4" t="s">
        <v>1381</v>
      </c>
      <c r="F4991" s="4" t="s">
        <v>2303</v>
      </c>
    </row>
    <row r="4992" spans="1:6" x14ac:dyDescent="0.25">
      <c r="A4992" s="4" t="str">
        <f>CONCATENATE("3071-0000-1644","")</f>
        <v>3071-0000-1644</v>
      </c>
      <c r="B4992" s="4" t="s">
        <v>2701</v>
      </c>
      <c r="C4992" s="5">
        <v>41489</v>
      </c>
      <c r="D4992" s="5">
        <v>41549</v>
      </c>
      <c r="E4992" s="4" t="s">
        <v>1381</v>
      </c>
      <c r="F4992" s="4" t="s">
        <v>2303</v>
      </c>
    </row>
    <row r="4993" spans="1:6" x14ac:dyDescent="0.25">
      <c r="A4993" s="4" t="str">
        <f>CONCATENATE("3071-0000-6236","")</f>
        <v>3071-0000-6236</v>
      </c>
      <c r="B4993" s="4" t="s">
        <v>7136</v>
      </c>
      <c r="C4993" s="5">
        <v>41489</v>
      </c>
      <c r="D4993" s="5">
        <v>41549</v>
      </c>
      <c r="E4993" s="4" t="s">
        <v>7069</v>
      </c>
      <c r="F4993" s="4" t="s">
        <v>7120</v>
      </c>
    </row>
    <row r="4994" spans="1:6" x14ac:dyDescent="0.25">
      <c r="A4994" s="4" t="str">
        <f>CONCATENATE("3071-0000-6384","")</f>
        <v>3071-0000-6384</v>
      </c>
      <c r="B4994" s="4" t="s">
        <v>7886</v>
      </c>
      <c r="C4994" s="5">
        <v>41489</v>
      </c>
      <c r="D4994" s="5">
        <v>41549</v>
      </c>
      <c r="E4994" s="4" t="s">
        <v>5185</v>
      </c>
      <c r="F4994" s="4" t="s">
        <v>5185</v>
      </c>
    </row>
    <row r="4995" spans="1:6" x14ac:dyDescent="0.25">
      <c r="A4995" s="4" t="str">
        <f>CONCATENATE("3071-0000-2596","")</f>
        <v>3071-0000-2596</v>
      </c>
      <c r="B4995" s="4" t="s">
        <v>3239</v>
      </c>
      <c r="C4995" s="5">
        <v>41489</v>
      </c>
      <c r="D4995" s="5">
        <v>41549</v>
      </c>
      <c r="E4995" s="4" t="s">
        <v>2944</v>
      </c>
      <c r="F4995" s="4" t="s">
        <v>3164</v>
      </c>
    </row>
    <row r="4996" spans="1:6" x14ac:dyDescent="0.25">
      <c r="A4996" s="4" t="str">
        <f>CONCATENATE("3071-0000-8958","")</f>
        <v>3071-0000-8958</v>
      </c>
      <c r="B4996" s="4" t="s">
        <v>6289</v>
      </c>
      <c r="C4996" s="5">
        <v>41489</v>
      </c>
      <c r="D4996" s="5">
        <v>41549</v>
      </c>
      <c r="E4996" s="4" t="s">
        <v>5185</v>
      </c>
      <c r="F4996" s="4" t="s">
        <v>6181</v>
      </c>
    </row>
    <row r="4997" spans="1:6" x14ac:dyDescent="0.25">
      <c r="A4997" s="4" t="str">
        <f>CONCATENATE("3071-0000-8943","")</f>
        <v>3071-0000-8943</v>
      </c>
      <c r="B4997" s="4" t="s">
        <v>6278</v>
      </c>
      <c r="C4997" s="5">
        <v>41489</v>
      </c>
      <c r="D4997" s="5">
        <v>41549</v>
      </c>
      <c r="E4997" s="4" t="s">
        <v>5185</v>
      </c>
      <c r="F4997" s="4" t="s">
        <v>6181</v>
      </c>
    </row>
    <row r="4998" spans="1:6" x14ac:dyDescent="0.25">
      <c r="A4998" s="4" t="str">
        <f>CONCATENATE("3071-0000-8960","")</f>
        <v>3071-0000-8960</v>
      </c>
      <c r="B4998" s="4" t="s">
        <v>6288</v>
      </c>
      <c r="C4998" s="5">
        <v>41489</v>
      </c>
      <c r="D4998" s="5">
        <v>41549</v>
      </c>
      <c r="E4998" s="4" t="s">
        <v>5185</v>
      </c>
      <c r="F4998" s="4" t="s">
        <v>6181</v>
      </c>
    </row>
    <row r="4999" spans="1:6" x14ac:dyDescent="0.25">
      <c r="A4999" s="4" t="str">
        <f>CONCATENATE("3071-0000-8962","")</f>
        <v>3071-0000-8962</v>
      </c>
      <c r="B4999" s="4" t="s">
        <v>6293</v>
      </c>
      <c r="C4999" s="5">
        <v>41489</v>
      </c>
      <c r="D4999" s="5">
        <v>41549</v>
      </c>
      <c r="E4999" s="4" t="s">
        <v>5185</v>
      </c>
      <c r="F4999" s="4" t="s">
        <v>6181</v>
      </c>
    </row>
    <row r="5000" spans="1:6" x14ac:dyDescent="0.25">
      <c r="A5000" s="4" t="str">
        <f>CONCATENATE("3071-0000-9109","")</f>
        <v>3071-0000-9109</v>
      </c>
      <c r="B5000" s="4" t="s">
        <v>5284</v>
      </c>
      <c r="C5000" s="5">
        <v>41489</v>
      </c>
      <c r="D5000" s="5">
        <v>41549</v>
      </c>
      <c r="E5000" s="4" t="s">
        <v>5185</v>
      </c>
      <c r="F5000" s="4" t="s">
        <v>5185</v>
      </c>
    </row>
    <row r="5001" spans="1:6" x14ac:dyDescent="0.25">
      <c r="A5001" s="4" t="str">
        <f>CONCATENATE("3071-0000-8941","")</f>
        <v>3071-0000-8941</v>
      </c>
      <c r="B5001" s="4" t="s">
        <v>6285</v>
      </c>
      <c r="C5001" s="5">
        <v>41489</v>
      </c>
      <c r="D5001" s="5">
        <v>41549</v>
      </c>
      <c r="E5001" s="4" t="s">
        <v>5185</v>
      </c>
      <c r="F5001" s="4" t="s">
        <v>6181</v>
      </c>
    </row>
    <row r="5002" spans="1:6" x14ac:dyDescent="0.25">
      <c r="A5002" s="4" t="str">
        <f>CONCATENATE("3071-0000-8976","")</f>
        <v>3071-0000-8976</v>
      </c>
      <c r="B5002" s="4" t="s">
        <v>6269</v>
      </c>
      <c r="C5002" s="5">
        <v>41489</v>
      </c>
      <c r="D5002" s="5">
        <v>41549</v>
      </c>
      <c r="E5002" s="4" t="s">
        <v>5185</v>
      </c>
      <c r="F5002" s="4" t="s">
        <v>6181</v>
      </c>
    </row>
    <row r="5003" spans="1:6" x14ac:dyDescent="0.25">
      <c r="A5003" s="4" t="str">
        <f>CONCATENATE("3071-0000-8947","")</f>
        <v>3071-0000-8947</v>
      </c>
      <c r="B5003" s="4" t="s">
        <v>6272</v>
      </c>
      <c r="C5003" s="5">
        <v>41489</v>
      </c>
      <c r="D5003" s="5">
        <v>41549</v>
      </c>
      <c r="E5003" s="4" t="s">
        <v>5185</v>
      </c>
      <c r="F5003" s="4" t="s">
        <v>6181</v>
      </c>
    </row>
    <row r="5004" spans="1:6" x14ac:dyDescent="0.25">
      <c r="A5004" s="4" t="str">
        <f>CONCATENATE("3071-0000-6479","")</f>
        <v>3071-0000-6479</v>
      </c>
      <c r="B5004" s="4" t="s">
        <v>7784</v>
      </c>
      <c r="C5004" s="5">
        <v>41489</v>
      </c>
      <c r="D5004" s="5">
        <v>41549</v>
      </c>
      <c r="E5004" s="4" t="s">
        <v>5185</v>
      </c>
      <c r="F5004" s="4" t="s">
        <v>5185</v>
      </c>
    </row>
    <row r="5005" spans="1:6" x14ac:dyDescent="0.25">
      <c r="A5005" s="4" t="str">
        <f>CONCATENATE("3071-0000-0404","")</f>
        <v>3071-0000-0404</v>
      </c>
      <c r="B5005" s="4" t="s">
        <v>680</v>
      </c>
      <c r="C5005" s="5">
        <v>41489</v>
      </c>
      <c r="D5005" s="5">
        <v>41549</v>
      </c>
      <c r="E5005" s="4" t="s">
        <v>7</v>
      </c>
      <c r="F5005" s="4" t="s">
        <v>7</v>
      </c>
    </row>
    <row r="5006" spans="1:6" x14ac:dyDescent="0.25">
      <c r="A5006" s="4" t="str">
        <f>CONCATENATE("3071-0000-2858","")</f>
        <v>3071-0000-2858</v>
      </c>
      <c r="B5006" s="4" t="s">
        <v>1361</v>
      </c>
      <c r="C5006" s="5">
        <v>41489</v>
      </c>
      <c r="D5006" s="5">
        <v>41549</v>
      </c>
      <c r="E5006" s="4" t="s">
        <v>7</v>
      </c>
      <c r="F5006" s="4" t="s">
        <v>808</v>
      </c>
    </row>
    <row r="5007" spans="1:6" x14ac:dyDescent="0.25">
      <c r="A5007" s="4" t="str">
        <f>CONCATENATE("3071-0000-2277","")</f>
        <v>3071-0000-2277</v>
      </c>
      <c r="B5007" s="4" t="s">
        <v>3802</v>
      </c>
      <c r="C5007" s="5">
        <v>41489</v>
      </c>
      <c r="D5007" s="5">
        <v>41549</v>
      </c>
      <c r="E5007" s="4" t="s">
        <v>2944</v>
      </c>
      <c r="F5007" s="4" t="s">
        <v>2945</v>
      </c>
    </row>
    <row r="5008" spans="1:6" x14ac:dyDescent="0.25">
      <c r="A5008" s="4" t="str">
        <f>CONCATENATE("3071-0000-8191","")</f>
        <v>3071-0000-8191</v>
      </c>
      <c r="B5008" s="4" t="s">
        <v>5968</v>
      </c>
      <c r="C5008" s="5">
        <v>41489</v>
      </c>
      <c r="D5008" s="5">
        <v>41549</v>
      </c>
      <c r="E5008" s="4" t="s">
        <v>5185</v>
      </c>
      <c r="F5008" s="4" t="s">
        <v>5185</v>
      </c>
    </row>
    <row r="5009" spans="1:6" x14ac:dyDescent="0.25">
      <c r="A5009" s="4" t="str">
        <f>CONCATENATE("3071-0000-7903","")</f>
        <v>3071-0000-7903</v>
      </c>
      <c r="B5009" s="4" t="s">
        <v>5466</v>
      </c>
      <c r="C5009" s="5">
        <v>41489</v>
      </c>
      <c r="D5009" s="5">
        <v>41549</v>
      </c>
      <c r="E5009" s="4" t="s">
        <v>5185</v>
      </c>
      <c r="F5009" s="4" t="s">
        <v>5185</v>
      </c>
    </row>
    <row r="5010" spans="1:6" x14ac:dyDescent="0.25">
      <c r="A5010" s="4" t="str">
        <f>CONCATENATE("3071-0000-8725","")</f>
        <v>3071-0000-8725</v>
      </c>
      <c r="B5010" s="4" t="s">
        <v>6355</v>
      </c>
      <c r="C5010" s="5">
        <v>41489</v>
      </c>
      <c r="D5010" s="5">
        <v>41549</v>
      </c>
      <c r="E5010" s="4" t="s">
        <v>5185</v>
      </c>
      <c r="F5010" s="4" t="s">
        <v>5292</v>
      </c>
    </row>
    <row r="5011" spans="1:6" x14ac:dyDescent="0.25">
      <c r="A5011" s="4" t="str">
        <f>CONCATENATE("3071-0000-7592","")</f>
        <v>3071-0000-7592</v>
      </c>
      <c r="B5011" s="4" t="s">
        <v>4974</v>
      </c>
      <c r="C5011" s="5">
        <v>41489</v>
      </c>
      <c r="D5011" s="5">
        <v>41549</v>
      </c>
      <c r="E5011" s="4" t="s">
        <v>1410</v>
      </c>
      <c r="F5011" s="4" t="s">
        <v>4616</v>
      </c>
    </row>
    <row r="5012" spans="1:6" x14ac:dyDescent="0.25">
      <c r="A5012" s="4" t="str">
        <f>CONCATENATE("3071-0000-8925","")</f>
        <v>3071-0000-8925</v>
      </c>
      <c r="B5012" s="4" t="s">
        <v>5334</v>
      </c>
      <c r="C5012" s="5">
        <v>41489</v>
      </c>
      <c r="D5012" s="5">
        <v>41549</v>
      </c>
      <c r="E5012" s="4" t="s">
        <v>1410</v>
      </c>
      <c r="F5012" s="4" t="s">
        <v>4616</v>
      </c>
    </row>
    <row r="5013" spans="1:6" x14ac:dyDescent="0.25">
      <c r="A5013" s="4" t="str">
        <f>CONCATENATE("3071-0000-8940","")</f>
        <v>3071-0000-8940</v>
      </c>
      <c r="B5013" s="4" t="s">
        <v>5335</v>
      </c>
      <c r="C5013" s="5">
        <v>41489</v>
      </c>
      <c r="D5013" s="5">
        <v>41549</v>
      </c>
      <c r="E5013" s="4" t="s">
        <v>1410</v>
      </c>
      <c r="F5013" s="4" t="s">
        <v>4616</v>
      </c>
    </row>
    <row r="5014" spans="1:6" x14ac:dyDescent="0.25">
      <c r="A5014" s="4" t="str">
        <f>CONCATENATE("3071-0000-7488","")</f>
        <v>3071-0000-7488</v>
      </c>
      <c r="B5014" s="4" t="s">
        <v>4892</v>
      </c>
      <c r="C5014" s="5">
        <v>41489</v>
      </c>
      <c r="D5014" s="5">
        <v>41549</v>
      </c>
      <c r="E5014" s="4" t="s">
        <v>1410</v>
      </c>
      <c r="F5014" s="4" t="s">
        <v>4616</v>
      </c>
    </row>
    <row r="5015" spans="1:6" x14ac:dyDescent="0.25">
      <c r="A5015" s="4" t="str">
        <f>CONCATENATE("3071-0000-8049","")</f>
        <v>3071-0000-8049</v>
      </c>
      <c r="B5015" s="4" t="s">
        <v>5685</v>
      </c>
      <c r="C5015" s="5">
        <v>41489</v>
      </c>
      <c r="D5015" s="5">
        <v>41549</v>
      </c>
      <c r="E5015" s="4" t="s">
        <v>5185</v>
      </c>
      <c r="F5015" s="4" t="s">
        <v>5185</v>
      </c>
    </row>
    <row r="5016" spans="1:6" x14ac:dyDescent="0.25">
      <c r="A5016" s="4" t="str">
        <f>CONCATENATE("3071-0000-8055","")</f>
        <v>3071-0000-8055</v>
      </c>
      <c r="B5016" s="4" t="s">
        <v>5503</v>
      </c>
      <c r="C5016" s="5">
        <v>41489</v>
      </c>
      <c r="D5016" s="5">
        <v>41549</v>
      </c>
      <c r="E5016" s="4" t="s">
        <v>5185</v>
      </c>
      <c r="F5016" s="4" t="s">
        <v>5250</v>
      </c>
    </row>
    <row r="5017" spans="1:6" x14ac:dyDescent="0.25">
      <c r="A5017" s="4" t="str">
        <f>CONCATENATE("3071-0000-8387","")</f>
        <v>3071-0000-8387</v>
      </c>
      <c r="B5017" s="4" t="s">
        <v>5800</v>
      </c>
      <c r="C5017" s="5">
        <v>41489</v>
      </c>
      <c r="D5017" s="5">
        <v>41549</v>
      </c>
      <c r="E5017" s="4" t="s">
        <v>5185</v>
      </c>
      <c r="F5017" s="4" t="s">
        <v>5185</v>
      </c>
    </row>
    <row r="5018" spans="1:6" x14ac:dyDescent="0.25">
      <c r="A5018" s="4" t="str">
        <f>CONCATENATE("3071-0000-8928","")</f>
        <v>3071-0000-8928</v>
      </c>
      <c r="B5018" s="4" t="s">
        <v>5343</v>
      </c>
      <c r="C5018" s="5">
        <v>41489</v>
      </c>
      <c r="D5018" s="5">
        <v>41549</v>
      </c>
      <c r="E5018" s="4" t="s">
        <v>1410</v>
      </c>
      <c r="F5018" s="4" t="s">
        <v>4616</v>
      </c>
    </row>
    <row r="5019" spans="1:6" x14ac:dyDescent="0.25">
      <c r="A5019" s="4" t="str">
        <f>CONCATENATE("3071-0000-6087","")</f>
        <v>3071-0000-6087</v>
      </c>
      <c r="B5019" s="4" t="s">
        <v>6930</v>
      </c>
      <c r="C5019" s="5">
        <v>41489</v>
      </c>
      <c r="D5019" s="5">
        <v>41549</v>
      </c>
      <c r="E5019" s="4" t="s">
        <v>1410</v>
      </c>
      <c r="F5019" s="4" t="s">
        <v>4616</v>
      </c>
    </row>
    <row r="5020" spans="1:6" x14ac:dyDescent="0.25">
      <c r="A5020" s="4" t="str">
        <f>CONCATENATE("3071-0000-7271","")</f>
        <v>3071-0000-7271</v>
      </c>
      <c r="B5020" s="4" t="s">
        <v>5098</v>
      </c>
      <c r="C5020" s="5">
        <v>41489</v>
      </c>
      <c r="D5020" s="5">
        <v>41549</v>
      </c>
      <c r="E5020" s="4" t="s">
        <v>1410</v>
      </c>
      <c r="F5020" s="4" t="s">
        <v>1410</v>
      </c>
    </row>
    <row r="5021" spans="1:6" x14ac:dyDescent="0.25">
      <c r="A5021" s="4" t="str">
        <f>CONCATENATE("3071-0000-8926","")</f>
        <v>3071-0000-8926</v>
      </c>
      <c r="B5021" s="4" t="s">
        <v>5339</v>
      </c>
      <c r="C5021" s="5">
        <v>41489</v>
      </c>
      <c r="D5021" s="5">
        <v>41549</v>
      </c>
      <c r="E5021" s="4" t="s">
        <v>1410</v>
      </c>
      <c r="F5021" s="4" t="s">
        <v>4616</v>
      </c>
    </row>
    <row r="5022" spans="1:6" x14ac:dyDescent="0.25">
      <c r="A5022" s="4" t="str">
        <f>CONCATENATE("3071-0000-8303","")</f>
        <v>3071-0000-8303</v>
      </c>
      <c r="B5022" s="4" t="s">
        <v>6243</v>
      </c>
      <c r="C5022" s="5">
        <v>41489</v>
      </c>
      <c r="D5022" s="5">
        <v>41549</v>
      </c>
      <c r="E5022" s="4" t="s">
        <v>5185</v>
      </c>
      <c r="F5022" s="4" t="s">
        <v>5185</v>
      </c>
    </row>
    <row r="5023" spans="1:6" x14ac:dyDescent="0.25">
      <c r="A5023" s="4" t="str">
        <f>CONCATENATE("3071-0000-7823","")</f>
        <v>3071-0000-7823</v>
      </c>
      <c r="B5023" s="4" t="s">
        <v>5541</v>
      </c>
      <c r="C5023" s="5">
        <v>41489</v>
      </c>
      <c r="D5023" s="5">
        <v>41549</v>
      </c>
      <c r="E5023" s="4" t="s">
        <v>5185</v>
      </c>
      <c r="F5023" s="4" t="s">
        <v>5185</v>
      </c>
    </row>
    <row r="5024" spans="1:6" x14ac:dyDescent="0.25">
      <c r="A5024" s="4" t="str">
        <f>CONCATENATE("3071-0000-8313","")</f>
        <v>3071-0000-8313</v>
      </c>
      <c r="B5024" s="4" t="s">
        <v>5564</v>
      </c>
      <c r="C5024" s="5">
        <v>41489</v>
      </c>
      <c r="D5024" s="5">
        <v>41549</v>
      </c>
      <c r="E5024" s="4" t="s">
        <v>5185</v>
      </c>
      <c r="F5024" s="4" t="s">
        <v>5185</v>
      </c>
    </row>
    <row r="5025" spans="1:6" x14ac:dyDescent="0.25">
      <c r="A5025" s="4" t="str">
        <f>CONCATENATE("3071-0000-9159","")</f>
        <v>3071-0000-9159</v>
      </c>
      <c r="B5025" s="4" t="s">
        <v>5951</v>
      </c>
      <c r="C5025" s="5">
        <v>41489</v>
      </c>
      <c r="D5025" s="5">
        <v>41549</v>
      </c>
      <c r="E5025" s="4" t="s">
        <v>5185</v>
      </c>
      <c r="F5025" s="4" t="s">
        <v>5945</v>
      </c>
    </row>
    <row r="5026" spans="1:6" x14ac:dyDescent="0.25">
      <c r="A5026" s="4" t="str">
        <f>CONCATENATE("3071-0000-7915","")</f>
        <v>3071-0000-7915</v>
      </c>
      <c r="B5026" s="4" t="s">
        <v>5610</v>
      </c>
      <c r="C5026" s="5">
        <v>41489</v>
      </c>
      <c r="D5026" s="5">
        <v>41549</v>
      </c>
      <c r="E5026" s="4" t="s">
        <v>5185</v>
      </c>
      <c r="F5026" s="4" t="s">
        <v>5185</v>
      </c>
    </row>
    <row r="5027" spans="1:6" x14ac:dyDescent="0.25">
      <c r="A5027" s="4" t="str">
        <f>CONCATENATE("3071-0000-8437","")</f>
        <v>3071-0000-8437</v>
      </c>
      <c r="B5027" s="4" t="s">
        <v>5270</v>
      </c>
      <c r="C5027" s="5">
        <v>41489</v>
      </c>
      <c r="D5027" s="5">
        <v>41549</v>
      </c>
      <c r="E5027" s="4" t="s">
        <v>5185</v>
      </c>
      <c r="F5027" s="4" t="s">
        <v>5185</v>
      </c>
    </row>
    <row r="5028" spans="1:6" x14ac:dyDescent="0.25">
      <c r="A5028" s="4" t="str">
        <f>CONCATENATE("3071-0000-8246","")</f>
        <v>3071-0000-8246</v>
      </c>
      <c r="B5028" s="4" t="s">
        <v>5969</v>
      </c>
      <c r="C5028" s="5">
        <v>41489</v>
      </c>
      <c r="D5028" s="5">
        <v>41549</v>
      </c>
      <c r="E5028" s="4" t="s">
        <v>5185</v>
      </c>
      <c r="F5028" s="4" t="s">
        <v>5185</v>
      </c>
    </row>
    <row r="5029" spans="1:6" x14ac:dyDescent="0.25">
      <c r="A5029" s="4" t="str">
        <f>CONCATENATE("3071-0000-7910","")</f>
        <v>3071-0000-7910</v>
      </c>
      <c r="B5029" s="4" t="s">
        <v>5601</v>
      </c>
      <c r="C5029" s="5">
        <v>41489</v>
      </c>
      <c r="D5029" s="5">
        <v>41549</v>
      </c>
      <c r="E5029" s="4" t="s">
        <v>5185</v>
      </c>
      <c r="F5029" s="4" t="s">
        <v>5185</v>
      </c>
    </row>
    <row r="5030" spans="1:6" x14ac:dyDescent="0.25">
      <c r="A5030" s="4" t="str">
        <f>CONCATENATE("3071-0000-0060","")</f>
        <v>3071-0000-0060</v>
      </c>
      <c r="B5030" s="4" t="s">
        <v>115</v>
      </c>
      <c r="C5030" s="5">
        <v>41489</v>
      </c>
      <c r="D5030" s="5">
        <v>41549</v>
      </c>
      <c r="E5030" s="4" t="s">
        <v>7</v>
      </c>
      <c r="F5030" s="4" t="s">
        <v>7</v>
      </c>
    </row>
    <row r="5031" spans="1:6" x14ac:dyDescent="0.25">
      <c r="A5031" s="4" t="str">
        <f>CONCATENATE("3071-0000-7919","")</f>
        <v>3071-0000-7919</v>
      </c>
      <c r="B5031" s="4" t="s">
        <v>5614</v>
      </c>
      <c r="C5031" s="5">
        <v>41489</v>
      </c>
      <c r="D5031" s="5">
        <v>41549</v>
      </c>
      <c r="E5031" s="4" t="s">
        <v>5185</v>
      </c>
      <c r="F5031" s="4" t="s">
        <v>5185</v>
      </c>
    </row>
    <row r="5032" spans="1:6" x14ac:dyDescent="0.25">
      <c r="A5032" s="4" t="str">
        <f>CONCATENATE("3071-0000-5285","")</f>
        <v>3071-0000-5285</v>
      </c>
      <c r="B5032" s="4" t="s">
        <v>6762</v>
      </c>
      <c r="C5032" s="5">
        <v>41489</v>
      </c>
      <c r="D5032" s="5">
        <v>41549</v>
      </c>
      <c r="E5032" s="4" t="s">
        <v>5185</v>
      </c>
      <c r="F5032" s="4" t="s">
        <v>5185</v>
      </c>
    </row>
    <row r="5033" spans="1:6" x14ac:dyDescent="0.25">
      <c r="A5033" s="4" t="str">
        <f>CONCATENATE("3071-0000-7202","")</f>
        <v>3071-0000-7202</v>
      </c>
      <c r="B5033" s="4" t="s">
        <v>5090</v>
      </c>
      <c r="C5033" s="5">
        <v>41489</v>
      </c>
      <c r="D5033" s="5">
        <v>41549</v>
      </c>
      <c r="E5033" s="4" t="s">
        <v>1410</v>
      </c>
      <c r="F5033" s="4" t="s">
        <v>1410</v>
      </c>
    </row>
    <row r="5034" spans="1:6" x14ac:dyDescent="0.25">
      <c r="A5034" s="4" t="str">
        <f>CONCATENATE("3071-0000-7215","")</f>
        <v>3071-0000-7215</v>
      </c>
      <c r="B5034" s="4" t="s">
        <v>5023</v>
      </c>
      <c r="C5034" s="5">
        <v>41489</v>
      </c>
      <c r="D5034" s="5">
        <v>41549</v>
      </c>
      <c r="E5034" s="4" t="s">
        <v>1410</v>
      </c>
      <c r="F5034" s="4" t="s">
        <v>1410</v>
      </c>
    </row>
    <row r="5035" spans="1:6" x14ac:dyDescent="0.25">
      <c r="A5035" s="4" t="str">
        <f>CONCATENATE("3071-0000-5314","")</f>
        <v>3071-0000-5314</v>
      </c>
      <c r="B5035" s="4" t="s">
        <v>6806</v>
      </c>
      <c r="C5035" s="5">
        <v>41489</v>
      </c>
      <c r="D5035" s="5">
        <v>41549</v>
      </c>
      <c r="E5035" s="4" t="s">
        <v>5185</v>
      </c>
      <c r="F5035" s="4" t="s">
        <v>5185</v>
      </c>
    </row>
    <row r="5036" spans="1:6" x14ac:dyDescent="0.25">
      <c r="A5036" s="4" t="str">
        <f>CONCATENATE("3071-0000-7805","")</f>
        <v>3071-0000-7805</v>
      </c>
      <c r="B5036" s="4" t="s">
        <v>5475</v>
      </c>
      <c r="C5036" s="5">
        <v>41489</v>
      </c>
      <c r="D5036" s="5">
        <v>41549</v>
      </c>
      <c r="E5036" s="4" t="s">
        <v>5185</v>
      </c>
      <c r="F5036" s="4" t="s">
        <v>5185</v>
      </c>
    </row>
    <row r="5037" spans="1:6" x14ac:dyDescent="0.25">
      <c r="A5037" s="4" t="str">
        <f>CONCATENATE("3071-0000-8588","")</f>
        <v>3071-0000-8588</v>
      </c>
      <c r="B5037" s="4" t="s">
        <v>5449</v>
      </c>
      <c r="C5037" s="5">
        <v>41489</v>
      </c>
      <c r="D5037" s="5">
        <v>41549</v>
      </c>
      <c r="E5037" s="4" t="s">
        <v>1410</v>
      </c>
      <c r="F5037" s="4" t="s">
        <v>4616</v>
      </c>
    </row>
    <row r="5038" spans="1:6" x14ac:dyDescent="0.25">
      <c r="A5038" s="4" t="str">
        <f>CONCATENATE("3071-0000-2005","")</f>
        <v>3071-0000-2005</v>
      </c>
      <c r="B5038" s="4" t="s">
        <v>3297</v>
      </c>
      <c r="C5038" s="5">
        <v>41489</v>
      </c>
      <c r="D5038" s="5">
        <v>41549</v>
      </c>
      <c r="E5038" s="4" t="s">
        <v>2944</v>
      </c>
      <c r="F5038" s="4" t="s">
        <v>2945</v>
      </c>
    </row>
    <row r="5039" spans="1:6" x14ac:dyDescent="0.25">
      <c r="A5039" s="4" t="str">
        <f>CONCATENATE("3071-0000-5503","")</f>
        <v>3071-0000-5503</v>
      </c>
      <c r="B5039" s="4" t="s">
        <v>6724</v>
      </c>
      <c r="C5039" s="5">
        <v>41489</v>
      </c>
      <c r="D5039" s="5">
        <v>41549</v>
      </c>
      <c r="E5039" s="4" t="s">
        <v>1410</v>
      </c>
      <c r="F5039" s="4" t="s">
        <v>6635</v>
      </c>
    </row>
    <row r="5040" spans="1:6" x14ac:dyDescent="0.25">
      <c r="A5040" s="4" t="str">
        <f>CONCATENATE("3071-0000-5485","")</f>
        <v>3071-0000-5485</v>
      </c>
      <c r="B5040" s="4" t="s">
        <v>6637</v>
      </c>
      <c r="C5040" s="5">
        <v>41489</v>
      </c>
      <c r="D5040" s="5">
        <v>41549</v>
      </c>
      <c r="E5040" s="4" t="s">
        <v>1410</v>
      </c>
      <c r="F5040" s="4" t="s">
        <v>6635</v>
      </c>
    </row>
    <row r="5041" spans="1:6" x14ac:dyDescent="0.25">
      <c r="A5041" s="4" t="str">
        <f>CONCATENATE("3071-0000-4872","")</f>
        <v>3071-0000-4872</v>
      </c>
      <c r="B5041" s="4" t="s">
        <v>9396</v>
      </c>
      <c r="C5041" s="5">
        <v>41489</v>
      </c>
      <c r="D5041" s="5">
        <v>41549</v>
      </c>
      <c r="E5041" s="4" t="s">
        <v>7069</v>
      </c>
      <c r="F5041" s="4" t="s">
        <v>9210</v>
      </c>
    </row>
    <row r="5042" spans="1:6" x14ac:dyDescent="0.25">
      <c r="A5042" s="4" t="str">
        <f>CONCATENATE("3071-0000-7931","")</f>
        <v>3071-0000-7931</v>
      </c>
      <c r="B5042" s="4" t="s">
        <v>5497</v>
      </c>
      <c r="C5042" s="5">
        <v>41489</v>
      </c>
      <c r="D5042" s="5">
        <v>41549</v>
      </c>
      <c r="E5042" s="4" t="s">
        <v>5185</v>
      </c>
      <c r="F5042" s="4" t="s">
        <v>5185</v>
      </c>
    </row>
    <row r="5043" spans="1:6" x14ac:dyDescent="0.25">
      <c r="A5043" s="4" t="str">
        <f>CONCATENATE("3071-0000-5437","")</f>
        <v>3071-0000-5437</v>
      </c>
      <c r="B5043" s="4" t="s">
        <v>6895</v>
      </c>
      <c r="C5043" s="5">
        <v>41489</v>
      </c>
      <c r="D5043" s="5">
        <v>41549</v>
      </c>
      <c r="E5043" s="4" t="s">
        <v>5185</v>
      </c>
      <c r="F5043" s="4" t="s">
        <v>5185</v>
      </c>
    </row>
    <row r="5044" spans="1:6" x14ac:dyDescent="0.25">
      <c r="A5044" s="4" t="str">
        <f>CONCATENATE("3071-0000-5475","")</f>
        <v>3071-0000-5475</v>
      </c>
      <c r="B5044" s="4" t="s">
        <v>6675</v>
      </c>
      <c r="C5044" s="5">
        <v>41489</v>
      </c>
      <c r="D5044" s="5">
        <v>41549</v>
      </c>
      <c r="E5044" s="4" t="s">
        <v>1410</v>
      </c>
      <c r="F5044" s="4" t="s">
        <v>6635</v>
      </c>
    </row>
    <row r="5045" spans="1:6" x14ac:dyDescent="0.25">
      <c r="A5045" s="4" t="str">
        <f>CONCATENATE("3071-0000-7704","")</f>
        <v>3071-0000-7704</v>
      </c>
      <c r="B5045" s="4" t="s">
        <v>5121</v>
      </c>
      <c r="C5045" s="5">
        <v>41489</v>
      </c>
      <c r="D5045" s="5">
        <v>41549</v>
      </c>
      <c r="E5045" s="4" t="s">
        <v>1410</v>
      </c>
      <c r="F5045" s="4" t="s">
        <v>4616</v>
      </c>
    </row>
    <row r="5046" spans="1:6" x14ac:dyDescent="0.25">
      <c r="A5046" s="4" t="str">
        <f>CONCATENATE("3071-0000-5279","")</f>
        <v>3071-0000-5279</v>
      </c>
      <c r="B5046" s="4" t="s">
        <v>6747</v>
      </c>
      <c r="C5046" s="5">
        <v>41489</v>
      </c>
      <c r="D5046" s="5">
        <v>41549</v>
      </c>
      <c r="E5046" s="4" t="s">
        <v>5185</v>
      </c>
      <c r="F5046" s="4" t="s">
        <v>5185</v>
      </c>
    </row>
    <row r="5047" spans="1:6" x14ac:dyDescent="0.25">
      <c r="A5047" s="4" t="str">
        <f>CONCATENATE("3071-0000-5256","")</f>
        <v>3071-0000-5256</v>
      </c>
      <c r="B5047" s="4" t="s">
        <v>6721</v>
      </c>
      <c r="C5047" s="5">
        <v>41489</v>
      </c>
      <c r="D5047" s="5">
        <v>41549</v>
      </c>
      <c r="E5047" s="4" t="s">
        <v>5185</v>
      </c>
      <c r="F5047" s="4" t="s">
        <v>5185</v>
      </c>
    </row>
    <row r="5048" spans="1:6" x14ac:dyDescent="0.25">
      <c r="A5048" s="4" t="str">
        <f>CONCATENATE("3071-0000-7690","")</f>
        <v>3071-0000-7690</v>
      </c>
      <c r="B5048" s="4" t="s">
        <v>4853</v>
      </c>
      <c r="C5048" s="5">
        <v>41489</v>
      </c>
      <c r="D5048" s="5">
        <v>41549</v>
      </c>
      <c r="E5048" s="4" t="s">
        <v>1410</v>
      </c>
      <c r="F5048" s="4" t="s">
        <v>4655</v>
      </c>
    </row>
    <row r="5049" spans="1:6" x14ac:dyDescent="0.25">
      <c r="A5049" s="4" t="str">
        <f>CONCATENATE("3071-0000-5267","")</f>
        <v>3071-0000-5267</v>
      </c>
      <c r="B5049" s="4" t="s">
        <v>6738</v>
      </c>
      <c r="C5049" s="5">
        <v>41489</v>
      </c>
      <c r="D5049" s="5">
        <v>41549</v>
      </c>
      <c r="E5049" s="4" t="s">
        <v>5185</v>
      </c>
      <c r="F5049" s="4" t="s">
        <v>5185</v>
      </c>
    </row>
    <row r="5050" spans="1:6" x14ac:dyDescent="0.25">
      <c r="A5050" s="4" t="str">
        <f>CONCATENATE("3071-0000-5505","")</f>
        <v>3071-0000-5505</v>
      </c>
      <c r="B5050" s="4" t="s">
        <v>6739</v>
      </c>
      <c r="C5050" s="5">
        <v>41489</v>
      </c>
      <c r="D5050" s="5">
        <v>41549</v>
      </c>
      <c r="E5050" s="4" t="s">
        <v>1410</v>
      </c>
      <c r="F5050" s="4" t="s">
        <v>6635</v>
      </c>
    </row>
    <row r="5051" spans="1:6" x14ac:dyDescent="0.25">
      <c r="A5051" s="4" t="str">
        <f>CONCATENATE("3071-0000-8916","")</f>
        <v>3071-0000-8916</v>
      </c>
      <c r="B5051" s="4" t="s">
        <v>5317</v>
      </c>
      <c r="C5051" s="5">
        <v>41489</v>
      </c>
      <c r="D5051" s="5">
        <v>41549</v>
      </c>
      <c r="E5051" s="4" t="s">
        <v>1410</v>
      </c>
      <c r="F5051" s="4" t="s">
        <v>4616</v>
      </c>
    </row>
    <row r="5052" spans="1:6" x14ac:dyDescent="0.25">
      <c r="A5052" s="4" t="str">
        <f>CONCATENATE("3071-0000-0489","")</f>
        <v>3071-0000-0489</v>
      </c>
      <c r="B5052" s="4" t="s">
        <v>184</v>
      </c>
      <c r="C5052" s="5">
        <v>41489</v>
      </c>
      <c r="D5052" s="5">
        <v>41549</v>
      </c>
      <c r="E5052" s="4" t="s">
        <v>7</v>
      </c>
      <c r="F5052" s="4" t="s">
        <v>7</v>
      </c>
    </row>
    <row r="5053" spans="1:6" x14ac:dyDescent="0.25">
      <c r="A5053" s="4" t="str">
        <f>CONCATENATE("3071-0000-0275","")</f>
        <v>3071-0000-0275</v>
      </c>
      <c r="B5053" s="4" t="s">
        <v>665</v>
      </c>
      <c r="C5053" s="5">
        <v>41489</v>
      </c>
      <c r="D5053" s="5">
        <v>41549</v>
      </c>
      <c r="E5053" s="4" t="s">
        <v>7</v>
      </c>
      <c r="F5053" s="4" t="s">
        <v>7</v>
      </c>
    </row>
    <row r="5054" spans="1:6" x14ac:dyDescent="0.25">
      <c r="A5054" s="4" t="str">
        <f>CONCATENATE("3071-0000-1632","")</f>
        <v>3071-0000-1632</v>
      </c>
      <c r="B5054" s="4" t="s">
        <v>2743</v>
      </c>
      <c r="C5054" s="5">
        <v>41489</v>
      </c>
      <c r="D5054" s="5">
        <v>41549</v>
      </c>
      <c r="E5054" s="4" t="s">
        <v>1381</v>
      </c>
      <c r="F5054" s="4" t="s">
        <v>2303</v>
      </c>
    </row>
    <row r="5055" spans="1:6" x14ac:dyDescent="0.25">
      <c r="A5055" s="4" t="str">
        <f>CONCATENATE("3071-0000-4205","")</f>
        <v>3071-0000-4205</v>
      </c>
      <c r="B5055" s="4" t="s">
        <v>4202</v>
      </c>
      <c r="C5055" s="5">
        <v>41489</v>
      </c>
      <c r="D5055" s="5">
        <v>41549</v>
      </c>
      <c r="E5055" s="4" t="s">
        <v>7</v>
      </c>
      <c r="F5055" s="4" t="s">
        <v>1419</v>
      </c>
    </row>
    <row r="5056" spans="1:6" x14ac:dyDescent="0.25">
      <c r="A5056" s="4" t="str">
        <f>CONCATENATE("3071-0000-4027","")</f>
        <v>3071-0000-4027</v>
      </c>
      <c r="B5056" s="4" t="s">
        <v>4240</v>
      </c>
      <c r="C5056" s="5">
        <v>41489</v>
      </c>
      <c r="D5056" s="5">
        <v>41549</v>
      </c>
      <c r="E5056" s="4" t="s">
        <v>7</v>
      </c>
      <c r="F5056" s="4" t="s">
        <v>1419</v>
      </c>
    </row>
    <row r="5057" spans="1:6" x14ac:dyDescent="0.25">
      <c r="A5057" s="4" t="str">
        <f>CONCATENATE("3071-0000-8599","")</f>
        <v>3071-0000-8599</v>
      </c>
      <c r="B5057" s="4" t="s">
        <v>5448</v>
      </c>
      <c r="C5057" s="5">
        <v>41489</v>
      </c>
      <c r="D5057" s="5">
        <v>41549</v>
      </c>
      <c r="E5057" s="4" t="s">
        <v>1410</v>
      </c>
      <c r="F5057" s="4" t="s">
        <v>4616</v>
      </c>
    </row>
    <row r="5058" spans="1:6" x14ac:dyDescent="0.25">
      <c r="A5058" s="4" t="str">
        <f>CONCATENATE("3071-0000-0463","")</f>
        <v>3071-0000-0463</v>
      </c>
      <c r="B5058" s="4" t="s">
        <v>105</v>
      </c>
      <c r="C5058" s="5">
        <v>41489</v>
      </c>
      <c r="D5058" s="5">
        <v>41549</v>
      </c>
      <c r="E5058" s="4" t="s">
        <v>7</v>
      </c>
      <c r="F5058" s="4" t="s">
        <v>7</v>
      </c>
    </row>
    <row r="5059" spans="1:6" x14ac:dyDescent="0.25">
      <c r="A5059" s="4" t="str">
        <f>CONCATENATE("3071-0000-1956","")</f>
        <v>3071-0000-1956</v>
      </c>
      <c r="B5059" s="4" t="s">
        <v>3067</v>
      </c>
      <c r="C5059" s="5">
        <v>41489</v>
      </c>
      <c r="D5059" s="5">
        <v>41549</v>
      </c>
      <c r="E5059" s="4" t="s">
        <v>2944</v>
      </c>
      <c r="F5059" s="4" t="s">
        <v>2945</v>
      </c>
    </row>
    <row r="5060" spans="1:6" x14ac:dyDescent="0.25">
      <c r="A5060" s="4" t="str">
        <f>CONCATENATE("3071-0000-4532","")</f>
        <v>3071-0000-4532</v>
      </c>
      <c r="B5060" s="4" t="s">
        <v>9556</v>
      </c>
      <c r="C5060" s="5">
        <v>41489</v>
      </c>
      <c r="D5060" s="5">
        <v>41549</v>
      </c>
      <c r="E5060" s="4" t="s">
        <v>1410</v>
      </c>
      <c r="F5060" s="4" t="s">
        <v>8696</v>
      </c>
    </row>
    <row r="5061" spans="1:6" x14ac:dyDescent="0.25">
      <c r="A5061" s="4" t="str">
        <f>CONCATENATE("3071-0000-4502","")</f>
        <v>3071-0000-4502</v>
      </c>
      <c r="B5061" s="4" t="s">
        <v>9502</v>
      </c>
      <c r="C5061" s="5">
        <v>41489</v>
      </c>
      <c r="D5061" s="5">
        <v>41549</v>
      </c>
      <c r="E5061" s="4" t="s">
        <v>1410</v>
      </c>
      <c r="F5061" s="4" t="s">
        <v>8696</v>
      </c>
    </row>
    <row r="5062" spans="1:6" x14ac:dyDescent="0.25">
      <c r="A5062" s="4" t="str">
        <f>CONCATENATE("3071-0000-0680","")</f>
        <v>3071-0000-0680</v>
      </c>
      <c r="B5062" s="4" t="s">
        <v>274</v>
      </c>
      <c r="C5062" s="5">
        <v>41489</v>
      </c>
      <c r="D5062" s="5">
        <v>41549</v>
      </c>
      <c r="E5062" s="4" t="s">
        <v>7</v>
      </c>
      <c r="F5062" s="4" t="s">
        <v>273</v>
      </c>
    </row>
    <row r="5063" spans="1:6" x14ac:dyDescent="0.25">
      <c r="A5063" s="4" t="str">
        <f>CONCATENATE("3071-0000-7950","")</f>
        <v>3071-0000-7950</v>
      </c>
      <c r="B5063" s="4" t="s">
        <v>5588</v>
      </c>
      <c r="C5063" s="5">
        <v>41489</v>
      </c>
      <c r="D5063" s="5">
        <v>41549</v>
      </c>
      <c r="E5063" s="4" t="s">
        <v>5185</v>
      </c>
      <c r="F5063" s="4" t="s">
        <v>5185</v>
      </c>
    </row>
    <row r="5064" spans="1:6" x14ac:dyDescent="0.25">
      <c r="A5064" s="4" t="str">
        <f>CONCATENATE("3071-0000-8969","")</f>
        <v>3071-0000-8969</v>
      </c>
      <c r="B5064" s="4" t="s">
        <v>6259</v>
      </c>
      <c r="C5064" s="5">
        <v>41489</v>
      </c>
      <c r="D5064" s="5">
        <v>41549</v>
      </c>
      <c r="E5064" s="4" t="s">
        <v>5185</v>
      </c>
      <c r="F5064" s="4" t="s">
        <v>6181</v>
      </c>
    </row>
    <row r="5065" spans="1:6" x14ac:dyDescent="0.25">
      <c r="A5065" s="4" t="str">
        <f>CONCATENATE("3071-0000-8886","")</f>
        <v>3071-0000-8886</v>
      </c>
      <c r="B5065" s="4" t="s">
        <v>6522</v>
      </c>
      <c r="C5065" s="5">
        <v>41489</v>
      </c>
      <c r="D5065" s="5">
        <v>41549</v>
      </c>
      <c r="E5065" s="4" t="s">
        <v>5185</v>
      </c>
      <c r="F5065" s="4" t="s">
        <v>5292</v>
      </c>
    </row>
    <row r="5066" spans="1:6" x14ac:dyDescent="0.25">
      <c r="A5066" s="4" t="str">
        <f>CONCATENATE("3071-0000-5098","")</f>
        <v>3071-0000-5098</v>
      </c>
      <c r="B5066" s="4" t="s">
        <v>9520</v>
      </c>
      <c r="C5066" s="5">
        <v>41489</v>
      </c>
      <c r="D5066" s="5">
        <v>41549</v>
      </c>
      <c r="E5066" s="4" t="s">
        <v>7069</v>
      </c>
      <c r="F5066" s="4" t="s">
        <v>7120</v>
      </c>
    </row>
    <row r="5067" spans="1:6" x14ac:dyDescent="0.25">
      <c r="A5067" s="4" t="str">
        <f>CONCATENATE("3071-0000-6592","")</f>
        <v>3071-0000-6592</v>
      </c>
      <c r="B5067" s="4" t="s">
        <v>8006</v>
      </c>
      <c r="C5067" s="5">
        <v>41489</v>
      </c>
      <c r="D5067" s="5">
        <v>41549</v>
      </c>
      <c r="E5067" s="4" t="s">
        <v>5185</v>
      </c>
      <c r="F5067" s="4" t="s">
        <v>5185</v>
      </c>
    </row>
    <row r="5068" spans="1:6" x14ac:dyDescent="0.25">
      <c r="A5068" s="4" t="str">
        <f>CONCATENATE("3071-0000-9560","")</f>
        <v>3071-0000-9560</v>
      </c>
      <c r="B5068" s="4" t="s">
        <v>8588</v>
      </c>
      <c r="C5068" s="5">
        <v>41489</v>
      </c>
      <c r="D5068" s="5">
        <v>41549</v>
      </c>
      <c r="E5068" s="4" t="s">
        <v>1410</v>
      </c>
      <c r="F5068" s="4" t="s">
        <v>4459</v>
      </c>
    </row>
    <row r="5069" spans="1:6" x14ac:dyDescent="0.25">
      <c r="A5069" s="4" t="str">
        <f>CONCATENATE("3071-0000-8946","")</f>
        <v>3071-0000-8946</v>
      </c>
      <c r="B5069" s="4" t="s">
        <v>6273</v>
      </c>
      <c r="C5069" s="5">
        <v>41489</v>
      </c>
      <c r="D5069" s="5">
        <v>41549</v>
      </c>
      <c r="E5069" s="4" t="s">
        <v>5185</v>
      </c>
      <c r="F5069" s="4" t="s">
        <v>6181</v>
      </c>
    </row>
    <row r="5070" spans="1:6" x14ac:dyDescent="0.25">
      <c r="A5070" s="4" t="str">
        <f>CONCATENATE("3071-0000-8446","")</f>
        <v>3071-0000-8446</v>
      </c>
      <c r="B5070" s="4" t="s">
        <v>5547</v>
      </c>
      <c r="C5070" s="5">
        <v>41489</v>
      </c>
      <c r="D5070" s="5">
        <v>41549</v>
      </c>
      <c r="E5070" s="4" t="s">
        <v>5185</v>
      </c>
      <c r="F5070" s="4" t="s">
        <v>5250</v>
      </c>
    </row>
    <row r="5071" spans="1:6" x14ac:dyDescent="0.25">
      <c r="A5071" s="4" t="str">
        <f>CONCATENATE("3071-0000-8955","")</f>
        <v>3071-0000-8955</v>
      </c>
      <c r="B5071" s="4" t="s">
        <v>6290</v>
      </c>
      <c r="C5071" s="5">
        <v>41489</v>
      </c>
      <c r="D5071" s="5">
        <v>41549</v>
      </c>
      <c r="E5071" s="4" t="s">
        <v>5185</v>
      </c>
      <c r="F5071" s="4" t="s">
        <v>6181</v>
      </c>
    </row>
    <row r="5072" spans="1:6" x14ac:dyDescent="0.25">
      <c r="A5072" s="4" t="str">
        <f>CONCATENATE("3071-0000-8827","")</f>
        <v>3071-0000-8827</v>
      </c>
      <c r="B5072" s="4" t="s">
        <v>6375</v>
      </c>
      <c r="C5072" s="5">
        <v>41489</v>
      </c>
      <c r="D5072" s="5">
        <v>41549</v>
      </c>
      <c r="E5072" s="4" t="s">
        <v>5185</v>
      </c>
      <c r="F5072" s="4" t="s">
        <v>5292</v>
      </c>
    </row>
    <row r="5073" spans="1:6" x14ac:dyDescent="0.25">
      <c r="A5073" s="4" t="str">
        <f>CONCATENATE("3071-0000-5402","")</f>
        <v>3071-0000-5402</v>
      </c>
      <c r="B5073" s="4" t="s">
        <v>6622</v>
      </c>
      <c r="C5073" s="5">
        <v>41489</v>
      </c>
      <c r="D5073" s="5">
        <v>41549</v>
      </c>
      <c r="E5073" s="4" t="s">
        <v>5185</v>
      </c>
      <c r="F5073" s="4" t="s">
        <v>5185</v>
      </c>
    </row>
    <row r="5074" spans="1:6" x14ac:dyDescent="0.25">
      <c r="A5074" s="4" t="str">
        <f>CONCATENATE("3071-0000-1917","")</f>
        <v>3071-0000-1917</v>
      </c>
      <c r="B5074" s="4" t="s">
        <v>3009</v>
      </c>
      <c r="C5074" s="5">
        <v>41489</v>
      </c>
      <c r="D5074" s="5">
        <v>41549</v>
      </c>
      <c r="E5074" s="4" t="s">
        <v>2944</v>
      </c>
      <c r="F5074" s="4" t="s">
        <v>2945</v>
      </c>
    </row>
    <row r="5075" spans="1:6" x14ac:dyDescent="0.25">
      <c r="A5075" s="4" t="str">
        <f>CONCATENATE("3071-0000-8512","")</f>
        <v>3071-0000-8512</v>
      </c>
      <c r="B5075" s="4" t="s">
        <v>6155</v>
      </c>
      <c r="C5075" s="5">
        <v>41489</v>
      </c>
      <c r="D5075" s="5">
        <v>41549</v>
      </c>
      <c r="E5075" s="4" t="s">
        <v>5185</v>
      </c>
      <c r="F5075" s="4" t="s">
        <v>5945</v>
      </c>
    </row>
    <row r="5076" spans="1:6" x14ac:dyDescent="0.25">
      <c r="A5076" s="4" t="str">
        <f>CONCATENATE("3071-0000-8326","")</f>
        <v>3071-0000-8326</v>
      </c>
      <c r="B5076" s="4" t="s">
        <v>5583</v>
      </c>
      <c r="C5076" s="5">
        <v>41489</v>
      </c>
      <c r="D5076" s="5">
        <v>41549</v>
      </c>
      <c r="E5076" s="4" t="s">
        <v>5185</v>
      </c>
      <c r="F5076" s="4" t="s">
        <v>5185</v>
      </c>
    </row>
    <row r="5077" spans="1:6" x14ac:dyDescent="0.25">
      <c r="A5077" s="4" t="str">
        <f>CONCATENATE("3071-0000-2354","")</f>
        <v>3071-0000-2354</v>
      </c>
      <c r="B5077" s="4" t="s">
        <v>3736</v>
      </c>
      <c r="C5077" s="5">
        <v>41489</v>
      </c>
      <c r="D5077" s="5">
        <v>41549</v>
      </c>
      <c r="E5077" s="4" t="s">
        <v>2944</v>
      </c>
      <c r="F5077" s="4" t="s">
        <v>2945</v>
      </c>
    </row>
    <row r="5078" spans="1:6" x14ac:dyDescent="0.25">
      <c r="A5078" s="4" t="str">
        <f>CONCATENATE("3071-0000-8670","")</f>
        <v>3071-0000-8670</v>
      </c>
      <c r="B5078" s="4" t="s">
        <v>6401</v>
      </c>
      <c r="C5078" s="5">
        <v>41489</v>
      </c>
      <c r="D5078" s="5">
        <v>41549</v>
      </c>
      <c r="E5078" s="4" t="s">
        <v>5185</v>
      </c>
      <c r="F5078" s="4" t="s">
        <v>5945</v>
      </c>
    </row>
    <row r="5079" spans="1:6" x14ac:dyDescent="0.25">
      <c r="A5079" s="4" t="str">
        <f>CONCATENATE("3071-0000-0276","")</f>
        <v>3071-0000-0276</v>
      </c>
      <c r="B5079" s="4" t="s">
        <v>666</v>
      </c>
      <c r="C5079" s="5">
        <v>41489</v>
      </c>
      <c r="D5079" s="5">
        <v>41549</v>
      </c>
      <c r="E5079" s="4" t="s">
        <v>7</v>
      </c>
      <c r="F5079" s="4" t="s">
        <v>7</v>
      </c>
    </row>
    <row r="5080" spans="1:6" x14ac:dyDescent="0.25">
      <c r="A5080" s="4" t="str">
        <f>CONCATENATE("3071-0000-6720","")</f>
        <v>3071-0000-6720</v>
      </c>
      <c r="B5080" s="4" t="s">
        <v>8190</v>
      </c>
      <c r="C5080" s="5">
        <v>41489</v>
      </c>
      <c r="D5080" s="5">
        <v>41549</v>
      </c>
      <c r="E5080" s="4" t="s">
        <v>5185</v>
      </c>
      <c r="F5080" s="4" t="s">
        <v>5185</v>
      </c>
    </row>
    <row r="5081" spans="1:6" x14ac:dyDescent="0.25">
      <c r="A5081" s="4" t="str">
        <f>CONCATENATE("3071-0000-5326","")</f>
        <v>3071-0000-5326</v>
      </c>
      <c r="B5081" s="4" t="s">
        <v>6711</v>
      </c>
      <c r="C5081" s="5">
        <v>41489</v>
      </c>
      <c r="D5081" s="5">
        <v>41549</v>
      </c>
      <c r="E5081" s="4" t="s">
        <v>5185</v>
      </c>
      <c r="F5081" s="4" t="s">
        <v>5185</v>
      </c>
    </row>
    <row r="5082" spans="1:6" x14ac:dyDescent="0.25">
      <c r="A5082" s="4" t="str">
        <f>CONCATENATE("3071-0000-7356","")</f>
        <v>3071-0000-7356</v>
      </c>
      <c r="B5082" s="4" t="s">
        <v>4484</v>
      </c>
      <c r="C5082" s="5">
        <v>41489</v>
      </c>
      <c r="D5082" s="5">
        <v>41549</v>
      </c>
      <c r="E5082" s="4" t="s">
        <v>1410</v>
      </c>
      <c r="F5082" s="4" t="s">
        <v>1410</v>
      </c>
    </row>
    <row r="5083" spans="1:6" x14ac:dyDescent="0.25">
      <c r="A5083" s="4" t="str">
        <f>CONCATENATE("3071-0000-7204","")</f>
        <v>3071-0000-7204</v>
      </c>
      <c r="B5083" s="4" t="s">
        <v>4977</v>
      </c>
      <c r="C5083" s="5">
        <v>41489</v>
      </c>
      <c r="D5083" s="5">
        <v>41549</v>
      </c>
      <c r="E5083" s="4" t="s">
        <v>1410</v>
      </c>
      <c r="F5083" s="4" t="s">
        <v>1410</v>
      </c>
    </row>
    <row r="5084" spans="1:6" x14ac:dyDescent="0.25">
      <c r="A5084" s="4" t="str">
        <f>CONCATENATE("3071-0000-2530","")</f>
        <v>3071-0000-2530</v>
      </c>
      <c r="B5084" s="4" t="s">
        <v>3091</v>
      </c>
      <c r="C5084" s="5">
        <v>41489</v>
      </c>
      <c r="D5084" s="5">
        <v>41549</v>
      </c>
      <c r="E5084" s="4" t="s">
        <v>2944</v>
      </c>
      <c r="F5084" s="4" t="s">
        <v>2945</v>
      </c>
    </row>
    <row r="5085" spans="1:6" x14ac:dyDescent="0.25">
      <c r="A5085" s="4" t="str">
        <f>CONCATENATE("3071-0000-8977","")</f>
        <v>3071-0000-8977</v>
      </c>
      <c r="B5085" s="4" t="s">
        <v>6274</v>
      </c>
      <c r="C5085" s="5">
        <v>41489</v>
      </c>
      <c r="D5085" s="5">
        <v>41549</v>
      </c>
      <c r="E5085" s="4" t="s">
        <v>5185</v>
      </c>
      <c r="F5085" s="4" t="s">
        <v>6181</v>
      </c>
    </row>
    <row r="5086" spans="1:6" x14ac:dyDescent="0.25">
      <c r="A5086" s="4" t="str">
        <f>CONCATENATE("3071-0000-3993","")</f>
        <v>3071-0000-3993</v>
      </c>
      <c r="B5086" s="4" t="s">
        <v>4093</v>
      </c>
      <c r="C5086" s="5">
        <v>41489</v>
      </c>
      <c r="D5086" s="5">
        <v>41549</v>
      </c>
      <c r="E5086" s="4" t="s">
        <v>1381</v>
      </c>
      <c r="F5086" s="4" t="s">
        <v>2215</v>
      </c>
    </row>
    <row r="5087" spans="1:6" x14ac:dyDescent="0.25">
      <c r="A5087" s="4" t="str">
        <f>CONCATENATE("3071-0000-1197","")</f>
        <v>3071-0000-1197</v>
      </c>
      <c r="B5087" s="4" t="s">
        <v>1982</v>
      </c>
      <c r="C5087" s="5">
        <v>41489</v>
      </c>
      <c r="D5087" s="5">
        <v>41549</v>
      </c>
      <c r="E5087" s="4" t="s">
        <v>1857</v>
      </c>
      <c r="F5087" s="4" t="s">
        <v>1857</v>
      </c>
    </row>
    <row r="5088" spans="1:6" x14ac:dyDescent="0.25">
      <c r="A5088" s="4" t="str">
        <f>CONCATENATE("3071-0000-1145","")</f>
        <v>3071-0000-1145</v>
      </c>
      <c r="B5088" s="4" t="s">
        <v>2004</v>
      </c>
      <c r="C5088" s="5">
        <v>41489</v>
      </c>
      <c r="D5088" s="5">
        <v>41549</v>
      </c>
      <c r="E5088" s="4" t="s">
        <v>1857</v>
      </c>
      <c r="F5088" s="4" t="s">
        <v>1857</v>
      </c>
    </row>
    <row r="5089" spans="1:6" x14ac:dyDescent="0.25">
      <c r="A5089" s="4" t="str">
        <f>CONCATENATE("3071-0000-1076","")</f>
        <v>3071-0000-1076</v>
      </c>
      <c r="B5089" s="4" t="s">
        <v>2036</v>
      </c>
      <c r="C5089" s="5">
        <v>41489</v>
      </c>
      <c r="D5089" s="5">
        <v>41549</v>
      </c>
      <c r="E5089" s="4" t="s">
        <v>1857</v>
      </c>
      <c r="F5089" s="4" t="s">
        <v>1857</v>
      </c>
    </row>
    <row r="5090" spans="1:6" x14ac:dyDescent="0.25">
      <c r="A5090" s="4" t="str">
        <f>CONCATENATE("3071-0000-0855","")</f>
        <v>3071-0000-0855</v>
      </c>
      <c r="B5090" s="4" t="s">
        <v>1948</v>
      </c>
      <c r="C5090" s="5">
        <v>41489</v>
      </c>
      <c r="D5090" s="5">
        <v>41549</v>
      </c>
      <c r="E5090" s="4" t="s">
        <v>1857</v>
      </c>
      <c r="F5090" s="4" t="s">
        <v>1857</v>
      </c>
    </row>
    <row r="5091" spans="1:6" x14ac:dyDescent="0.25">
      <c r="A5091" s="4" t="str">
        <f>CONCATENATE("3071-0000-6302","")</f>
        <v>3071-0000-6302</v>
      </c>
      <c r="B5091" s="4" t="s">
        <v>7109</v>
      </c>
      <c r="C5091" s="5">
        <v>41489</v>
      </c>
      <c r="D5091" s="5">
        <v>41549</v>
      </c>
      <c r="E5091" s="4" t="s">
        <v>7069</v>
      </c>
      <c r="F5091" s="4" t="s">
        <v>7070</v>
      </c>
    </row>
    <row r="5092" spans="1:6" x14ac:dyDescent="0.25">
      <c r="A5092" s="4" t="str">
        <f>CONCATENATE("3071-0000-4970","")</f>
        <v>3071-0000-4970</v>
      </c>
      <c r="B5092" s="4" t="s">
        <v>9422</v>
      </c>
      <c r="C5092" s="5">
        <v>41489</v>
      </c>
      <c r="D5092" s="5">
        <v>41549</v>
      </c>
      <c r="E5092" s="4" t="s">
        <v>7069</v>
      </c>
      <c r="F5092" s="4" t="s">
        <v>9210</v>
      </c>
    </row>
    <row r="5093" spans="1:6" x14ac:dyDescent="0.25">
      <c r="A5093" s="4" t="str">
        <f>CONCATENATE("3071-0000-6269","")</f>
        <v>3071-0000-6269</v>
      </c>
      <c r="B5093" s="4" t="s">
        <v>7082</v>
      </c>
      <c r="C5093" s="5">
        <v>41489</v>
      </c>
      <c r="D5093" s="5">
        <v>41549</v>
      </c>
      <c r="E5093" s="4" t="s">
        <v>7069</v>
      </c>
      <c r="F5093" s="4" t="s">
        <v>7070</v>
      </c>
    </row>
    <row r="5094" spans="1:6" x14ac:dyDescent="0.25">
      <c r="A5094" s="4" t="str">
        <f>CONCATENATE("3071-0000-4969","")</f>
        <v>3071-0000-4969</v>
      </c>
      <c r="B5094" s="4" t="s">
        <v>9350</v>
      </c>
      <c r="C5094" s="5">
        <v>41489</v>
      </c>
      <c r="D5094" s="5">
        <v>41549</v>
      </c>
      <c r="E5094" s="4" t="s">
        <v>7069</v>
      </c>
      <c r="F5094" s="4" t="s">
        <v>9210</v>
      </c>
    </row>
    <row r="5095" spans="1:6" x14ac:dyDescent="0.25">
      <c r="A5095" s="4" t="str">
        <f>CONCATENATE("3071-0000-2855","")</f>
        <v>3071-0000-2855</v>
      </c>
      <c r="B5095" s="4" t="s">
        <v>1354</v>
      </c>
      <c r="C5095" s="5">
        <v>41489</v>
      </c>
      <c r="D5095" s="5">
        <v>41549</v>
      </c>
      <c r="E5095" s="4" t="s">
        <v>7</v>
      </c>
      <c r="F5095" s="4" t="s">
        <v>982</v>
      </c>
    </row>
    <row r="5096" spans="1:6" x14ac:dyDescent="0.25">
      <c r="A5096" s="4" t="str">
        <f>CONCATENATE("3071-0000-8106","")</f>
        <v>3071-0000-8106</v>
      </c>
      <c r="B5096" s="4" t="s">
        <v>5984</v>
      </c>
      <c r="C5096" s="5">
        <v>41489</v>
      </c>
      <c r="D5096" s="5">
        <v>41549</v>
      </c>
      <c r="E5096" s="4" t="s">
        <v>5185</v>
      </c>
      <c r="F5096" s="4" t="s">
        <v>5185</v>
      </c>
    </row>
    <row r="5097" spans="1:6" x14ac:dyDescent="0.25">
      <c r="A5097" s="4" t="str">
        <f>CONCATENATE("3071-0000-3766","")</f>
        <v>3071-0000-3766</v>
      </c>
      <c r="B5097" s="4" t="s">
        <v>1614</v>
      </c>
      <c r="C5097" s="5">
        <v>41489</v>
      </c>
      <c r="D5097" s="5">
        <v>41549</v>
      </c>
      <c r="E5097" s="4" t="s">
        <v>1410</v>
      </c>
      <c r="F5097" s="4" t="s">
        <v>1613</v>
      </c>
    </row>
    <row r="5098" spans="1:6" x14ac:dyDescent="0.25">
      <c r="A5098" s="4" t="str">
        <f>CONCATENATE("3071-0000-0875","")</f>
        <v>3071-0000-0875</v>
      </c>
      <c r="B5098" s="4" t="s">
        <v>1991</v>
      </c>
      <c r="C5098" s="5">
        <v>41489</v>
      </c>
      <c r="D5098" s="5">
        <v>41549</v>
      </c>
      <c r="E5098" s="4" t="s">
        <v>1857</v>
      </c>
      <c r="F5098" s="4" t="s">
        <v>1857</v>
      </c>
    </row>
    <row r="5099" spans="1:6" x14ac:dyDescent="0.25">
      <c r="A5099" s="4" t="str">
        <f>CONCATENATE("3071-0000-0560","")</f>
        <v>3071-0000-0560</v>
      </c>
      <c r="B5099" s="4" t="s">
        <v>461</v>
      </c>
      <c r="C5099" s="5">
        <v>41489</v>
      </c>
      <c r="D5099" s="5">
        <v>41549</v>
      </c>
      <c r="E5099" s="4" t="s">
        <v>7</v>
      </c>
      <c r="F5099" s="4" t="s">
        <v>7</v>
      </c>
    </row>
    <row r="5100" spans="1:6" x14ac:dyDescent="0.25">
      <c r="A5100" s="4" t="str">
        <f>CONCATENATE("3071-0000-3923","")</f>
        <v>3071-0000-3923</v>
      </c>
      <c r="B5100" s="4" t="s">
        <v>4070</v>
      </c>
      <c r="C5100" s="5">
        <v>41489</v>
      </c>
      <c r="D5100" s="5">
        <v>41549</v>
      </c>
      <c r="E5100" s="4" t="s">
        <v>1381</v>
      </c>
      <c r="F5100" s="4" t="s">
        <v>4057</v>
      </c>
    </row>
    <row r="5101" spans="1:6" x14ac:dyDescent="0.25">
      <c r="A5101" s="4" t="str">
        <f>CONCATENATE("3071-0000-1209","")</f>
        <v>3071-0000-1209</v>
      </c>
      <c r="B5101" s="4" t="s">
        <v>1918</v>
      </c>
      <c r="C5101" s="5">
        <v>41489</v>
      </c>
      <c r="D5101" s="5">
        <v>41549</v>
      </c>
      <c r="E5101" s="4" t="s">
        <v>1857</v>
      </c>
      <c r="F5101" s="4" t="s">
        <v>1857</v>
      </c>
    </row>
    <row r="5102" spans="1:6" x14ac:dyDescent="0.25">
      <c r="A5102" s="4" t="str">
        <f>CONCATENATE("3071-0000-1163","")</f>
        <v>3071-0000-1163</v>
      </c>
      <c r="B5102" s="4" t="s">
        <v>1928</v>
      </c>
      <c r="C5102" s="5">
        <v>41489</v>
      </c>
      <c r="D5102" s="5">
        <v>41549</v>
      </c>
      <c r="E5102" s="4" t="s">
        <v>1857</v>
      </c>
      <c r="F5102" s="4" t="s">
        <v>1857</v>
      </c>
    </row>
    <row r="5103" spans="1:6" x14ac:dyDescent="0.25">
      <c r="A5103" s="4" t="str">
        <f>CONCATENATE("3071-0000-0847","")</f>
        <v>3071-0000-0847</v>
      </c>
      <c r="B5103" s="4" t="s">
        <v>1927</v>
      </c>
      <c r="C5103" s="5">
        <v>41489</v>
      </c>
      <c r="D5103" s="5">
        <v>41549</v>
      </c>
      <c r="E5103" s="4" t="s">
        <v>1857</v>
      </c>
      <c r="F5103" s="4" t="s">
        <v>1857</v>
      </c>
    </row>
    <row r="5104" spans="1:6" x14ac:dyDescent="0.25">
      <c r="A5104" s="4" t="str">
        <f>CONCATENATE("3071-0000-1198","")</f>
        <v>3071-0000-1198</v>
      </c>
      <c r="B5104" s="4" t="s">
        <v>1881</v>
      </c>
      <c r="C5104" s="5">
        <v>41489</v>
      </c>
      <c r="D5104" s="5">
        <v>41549</v>
      </c>
      <c r="E5104" s="4" t="s">
        <v>1857</v>
      </c>
      <c r="F5104" s="4" t="s">
        <v>1857</v>
      </c>
    </row>
    <row r="5105" spans="1:6" x14ac:dyDescent="0.25">
      <c r="A5105" s="4" t="str">
        <f>CONCATENATE("3071-0000-0781","")</f>
        <v>3071-0000-0781</v>
      </c>
      <c r="B5105" s="4" t="s">
        <v>766</v>
      </c>
      <c r="C5105" s="5">
        <v>41489</v>
      </c>
      <c r="D5105" s="5">
        <v>41549</v>
      </c>
      <c r="E5105" s="4" t="s">
        <v>7</v>
      </c>
      <c r="F5105" s="4" t="s">
        <v>7</v>
      </c>
    </row>
    <row r="5106" spans="1:6" x14ac:dyDescent="0.25">
      <c r="A5106" s="4" t="str">
        <f>CONCATENATE("3071-0000-3057","")</f>
        <v>3071-0000-3057</v>
      </c>
      <c r="B5106" s="4" t="s">
        <v>893</v>
      </c>
      <c r="C5106" s="5">
        <v>41489</v>
      </c>
      <c r="D5106" s="5">
        <v>41549</v>
      </c>
      <c r="E5106" s="4" t="s">
        <v>7</v>
      </c>
      <c r="F5106" s="4" t="s">
        <v>808</v>
      </c>
    </row>
    <row r="5107" spans="1:6" x14ac:dyDescent="0.25">
      <c r="A5107" s="4" t="str">
        <f>CONCATENATE("3071-0000-0828","")</f>
        <v>3071-0000-0828</v>
      </c>
      <c r="B5107" s="4" t="s">
        <v>1887</v>
      </c>
      <c r="C5107" s="5">
        <v>41489</v>
      </c>
      <c r="D5107" s="5">
        <v>41549</v>
      </c>
      <c r="E5107" s="4" t="s">
        <v>1857</v>
      </c>
      <c r="F5107" s="4" t="s">
        <v>1857</v>
      </c>
    </row>
    <row r="5108" spans="1:6" x14ac:dyDescent="0.25">
      <c r="A5108" s="4" t="str">
        <f>CONCATENATE("3071-0000-0382","")</f>
        <v>3071-0000-0382</v>
      </c>
      <c r="B5108" s="4" t="s">
        <v>233</v>
      </c>
      <c r="C5108" s="5">
        <v>41489</v>
      </c>
      <c r="D5108" s="5">
        <v>41549</v>
      </c>
      <c r="E5108" s="4" t="s">
        <v>7</v>
      </c>
      <c r="F5108" s="4" t="s">
        <v>7</v>
      </c>
    </row>
    <row r="5109" spans="1:6" x14ac:dyDescent="0.25">
      <c r="A5109" s="4" t="str">
        <f>CONCATENATE("3071-0000-1164","")</f>
        <v>3071-0000-1164</v>
      </c>
      <c r="B5109" s="4" t="s">
        <v>1985</v>
      </c>
      <c r="C5109" s="5">
        <v>41489</v>
      </c>
      <c r="D5109" s="5">
        <v>41549</v>
      </c>
      <c r="E5109" s="4" t="s">
        <v>1857</v>
      </c>
      <c r="F5109" s="4" t="s">
        <v>1857</v>
      </c>
    </row>
    <row r="5110" spans="1:6" x14ac:dyDescent="0.25">
      <c r="A5110" s="4" t="str">
        <f>CONCATENATE("3071-0000-1095","")</f>
        <v>3071-0000-1095</v>
      </c>
      <c r="B5110" s="4" t="s">
        <v>1958</v>
      </c>
      <c r="C5110" s="5">
        <v>41489</v>
      </c>
      <c r="D5110" s="5">
        <v>41549</v>
      </c>
      <c r="E5110" s="4" t="s">
        <v>1857</v>
      </c>
      <c r="F5110" s="4" t="s">
        <v>1857</v>
      </c>
    </row>
    <row r="5111" spans="1:6" x14ac:dyDescent="0.25">
      <c r="A5111" s="4" t="str">
        <f>CONCATENATE("3071-0000-0902","")</f>
        <v>3071-0000-0902</v>
      </c>
      <c r="B5111" s="4" t="s">
        <v>2008</v>
      </c>
      <c r="C5111" s="5">
        <v>41489</v>
      </c>
      <c r="D5111" s="5">
        <v>41549</v>
      </c>
      <c r="E5111" s="4" t="s">
        <v>1857</v>
      </c>
      <c r="F5111" s="4" t="s">
        <v>1857</v>
      </c>
    </row>
    <row r="5112" spans="1:6" x14ac:dyDescent="0.25">
      <c r="A5112" s="4" t="str">
        <f>CONCATENATE("3071-0000-6460","")</f>
        <v>3071-0000-6460</v>
      </c>
      <c r="B5112" s="4" t="s">
        <v>8149</v>
      </c>
      <c r="C5112" s="5">
        <v>41489</v>
      </c>
      <c r="D5112" s="5">
        <v>41549</v>
      </c>
      <c r="E5112" s="4" t="s">
        <v>5185</v>
      </c>
      <c r="F5112" s="4" t="s">
        <v>5185</v>
      </c>
    </row>
    <row r="5113" spans="1:6" x14ac:dyDescent="0.25">
      <c r="A5113" s="4" t="str">
        <f>CONCATENATE("3071-0000-3055","")</f>
        <v>3071-0000-3055</v>
      </c>
      <c r="B5113" s="4" t="s">
        <v>1407</v>
      </c>
      <c r="C5113" s="5">
        <v>41489</v>
      </c>
      <c r="D5113" s="5">
        <v>41549</v>
      </c>
      <c r="E5113" s="4" t="s">
        <v>7</v>
      </c>
      <c r="F5113" s="4" t="s">
        <v>808</v>
      </c>
    </row>
    <row r="5114" spans="1:6" x14ac:dyDescent="0.25">
      <c r="A5114" s="4" t="str">
        <f>CONCATENATE("3071-0000-3232","")</f>
        <v>3071-0000-3232</v>
      </c>
      <c r="B5114" s="4" t="s">
        <v>963</v>
      </c>
      <c r="C5114" s="5">
        <v>41489</v>
      </c>
      <c r="D5114" s="5">
        <v>41549</v>
      </c>
      <c r="E5114" s="4" t="s">
        <v>7</v>
      </c>
      <c r="F5114" s="4" t="s">
        <v>808</v>
      </c>
    </row>
    <row r="5115" spans="1:6" x14ac:dyDescent="0.25">
      <c r="A5115" s="4" t="str">
        <f>CONCATENATE("3071-0000-8706","")</f>
        <v>3071-0000-8706</v>
      </c>
      <c r="B5115" s="4" t="s">
        <v>6482</v>
      </c>
      <c r="C5115" s="5">
        <v>41489</v>
      </c>
      <c r="D5115" s="5">
        <v>41549</v>
      </c>
      <c r="E5115" s="4" t="s">
        <v>5185</v>
      </c>
      <c r="F5115" s="4" t="s">
        <v>5292</v>
      </c>
    </row>
    <row r="5116" spans="1:6" x14ac:dyDescent="0.25">
      <c r="A5116" s="4" t="str">
        <f>CONCATENATE("3071-0000-7759","")</f>
        <v>3071-0000-7759</v>
      </c>
      <c r="B5116" s="4" t="s">
        <v>4891</v>
      </c>
      <c r="C5116" s="5">
        <v>41489</v>
      </c>
      <c r="D5116" s="5">
        <v>41549</v>
      </c>
      <c r="E5116" s="4" t="s">
        <v>1410</v>
      </c>
      <c r="F5116" s="4" t="s">
        <v>4655</v>
      </c>
    </row>
    <row r="5117" spans="1:6" x14ac:dyDescent="0.25">
      <c r="A5117" s="4" t="str">
        <f>CONCATENATE("3071-0000-0856","")</f>
        <v>3071-0000-0856</v>
      </c>
      <c r="B5117" s="4" t="s">
        <v>1950</v>
      </c>
      <c r="C5117" s="5">
        <v>41489</v>
      </c>
      <c r="D5117" s="5">
        <v>41549</v>
      </c>
      <c r="E5117" s="4" t="s">
        <v>1857</v>
      </c>
      <c r="F5117" s="4" t="s">
        <v>1857</v>
      </c>
    </row>
    <row r="5118" spans="1:6" x14ac:dyDescent="0.25">
      <c r="A5118" s="4" t="str">
        <f>CONCATENATE("3071-0000-1153","")</f>
        <v>3071-0000-1153</v>
      </c>
      <c r="B5118" s="4" t="s">
        <v>2194</v>
      </c>
      <c r="C5118" s="5">
        <v>41489</v>
      </c>
      <c r="D5118" s="5">
        <v>41549</v>
      </c>
      <c r="E5118" s="4" t="s">
        <v>1857</v>
      </c>
      <c r="F5118" s="4" t="s">
        <v>2108</v>
      </c>
    </row>
    <row r="5119" spans="1:6" x14ac:dyDescent="0.25">
      <c r="A5119" s="4" t="str">
        <f>CONCATENATE("3071-0000-0969","")</f>
        <v>3071-0000-0969</v>
      </c>
      <c r="B5119" s="4" t="s">
        <v>2087</v>
      </c>
      <c r="C5119" s="5">
        <v>41489</v>
      </c>
      <c r="D5119" s="5">
        <v>41549</v>
      </c>
      <c r="E5119" s="4" t="s">
        <v>1857</v>
      </c>
      <c r="F5119" s="4" t="s">
        <v>1857</v>
      </c>
    </row>
    <row r="5120" spans="1:6" x14ac:dyDescent="0.25">
      <c r="A5120" s="4" t="str">
        <f>CONCATENATE("3071-0000-2240","")</f>
        <v>3071-0000-2240</v>
      </c>
      <c r="B5120" s="4" t="s">
        <v>3728</v>
      </c>
      <c r="C5120" s="5">
        <v>41489</v>
      </c>
      <c r="D5120" s="5">
        <v>41549</v>
      </c>
      <c r="E5120" s="4" t="s">
        <v>2944</v>
      </c>
      <c r="F5120" s="4" t="s">
        <v>2945</v>
      </c>
    </row>
    <row r="5121" spans="1:6" x14ac:dyDescent="0.25">
      <c r="A5121" s="4" t="str">
        <f>CONCATENATE("3071-0000-1206","")</f>
        <v>3071-0000-1206</v>
      </c>
      <c r="B5121" s="4" t="s">
        <v>2092</v>
      </c>
      <c r="C5121" s="5">
        <v>41489</v>
      </c>
      <c r="D5121" s="5">
        <v>41549</v>
      </c>
      <c r="E5121" s="4" t="s">
        <v>1857</v>
      </c>
      <c r="F5121" s="4" t="s">
        <v>2052</v>
      </c>
    </row>
    <row r="5122" spans="1:6" x14ac:dyDescent="0.25">
      <c r="A5122" s="4" t="str">
        <f>CONCATENATE("3071-0000-6488","")</f>
        <v>3071-0000-6488</v>
      </c>
      <c r="B5122" s="4" t="s">
        <v>7781</v>
      </c>
      <c r="C5122" s="5">
        <v>41489</v>
      </c>
      <c r="D5122" s="5">
        <v>41549</v>
      </c>
      <c r="E5122" s="4" t="s">
        <v>5185</v>
      </c>
      <c r="F5122" s="4" t="s">
        <v>5185</v>
      </c>
    </row>
    <row r="5123" spans="1:6" x14ac:dyDescent="0.25">
      <c r="A5123" s="4" t="str">
        <f>CONCATENATE("3071-0000-1923","")</f>
        <v>3071-0000-1923</v>
      </c>
      <c r="B5123" s="4" t="s">
        <v>3079</v>
      </c>
      <c r="C5123" s="5">
        <v>41489</v>
      </c>
      <c r="D5123" s="5">
        <v>41549</v>
      </c>
      <c r="E5123" s="4" t="s">
        <v>2944</v>
      </c>
      <c r="F5123" s="4" t="s">
        <v>2945</v>
      </c>
    </row>
    <row r="5124" spans="1:6" x14ac:dyDescent="0.25">
      <c r="A5124" s="4" t="str">
        <f>CONCATENATE("3071-0000-4652","")</f>
        <v>3071-0000-4652</v>
      </c>
      <c r="B5124" s="4" t="s">
        <v>9445</v>
      </c>
      <c r="C5124" s="5">
        <v>41489</v>
      </c>
      <c r="D5124" s="5">
        <v>41549</v>
      </c>
      <c r="E5124" s="4" t="s">
        <v>1410</v>
      </c>
      <c r="F5124" s="4" t="s">
        <v>8696</v>
      </c>
    </row>
    <row r="5125" spans="1:6" x14ac:dyDescent="0.25">
      <c r="A5125" s="4" t="str">
        <f>CONCATENATE("3071-0000-2847","")</f>
        <v>3071-0000-2847</v>
      </c>
      <c r="B5125" s="4" t="s">
        <v>1167</v>
      </c>
      <c r="C5125" s="5">
        <v>41489</v>
      </c>
      <c r="D5125" s="5">
        <v>41549</v>
      </c>
      <c r="E5125" s="4" t="s">
        <v>7</v>
      </c>
      <c r="F5125" s="4" t="s">
        <v>808</v>
      </c>
    </row>
    <row r="5126" spans="1:6" x14ac:dyDescent="0.25">
      <c r="A5126" s="4" t="str">
        <f>CONCATENATE("3071-0000-5245","")</f>
        <v>3071-0000-5245</v>
      </c>
      <c r="B5126" s="4" t="s">
        <v>6703</v>
      </c>
      <c r="C5126" s="5">
        <v>41489</v>
      </c>
      <c r="D5126" s="5">
        <v>41549</v>
      </c>
      <c r="E5126" s="4" t="s">
        <v>5185</v>
      </c>
      <c r="F5126" s="4" t="s">
        <v>5185</v>
      </c>
    </row>
    <row r="5127" spans="1:6" x14ac:dyDescent="0.25">
      <c r="A5127" s="4" t="str">
        <f>CONCATENATE("3071-0000-6590","")</f>
        <v>3071-0000-6590</v>
      </c>
      <c r="B5127" s="4" t="s">
        <v>8003</v>
      </c>
      <c r="C5127" s="5">
        <v>41489</v>
      </c>
      <c r="D5127" s="5">
        <v>41549</v>
      </c>
      <c r="E5127" s="4" t="s">
        <v>5185</v>
      </c>
      <c r="F5127" s="4" t="s">
        <v>5185</v>
      </c>
    </row>
    <row r="5128" spans="1:6" x14ac:dyDescent="0.25">
      <c r="A5128" s="4" t="str">
        <f>CONCATENATE("3071-0000-2010","")</f>
        <v>3071-0000-2010</v>
      </c>
      <c r="B5128" s="4" t="s">
        <v>3301</v>
      </c>
      <c r="C5128" s="5">
        <v>41489</v>
      </c>
      <c r="D5128" s="5">
        <v>41549</v>
      </c>
      <c r="E5128" s="4" t="s">
        <v>2944</v>
      </c>
      <c r="F5128" s="4" t="s">
        <v>2945</v>
      </c>
    </row>
    <row r="5129" spans="1:6" x14ac:dyDescent="0.25">
      <c r="A5129" s="4" t="str">
        <f>CONCATENATE("3071-0000-2819","")</f>
        <v>3071-0000-2819</v>
      </c>
      <c r="B5129" s="4" t="s">
        <v>1057</v>
      </c>
      <c r="C5129" s="5">
        <v>41489</v>
      </c>
      <c r="D5129" s="5">
        <v>41549</v>
      </c>
      <c r="E5129" s="4" t="s">
        <v>7</v>
      </c>
      <c r="F5129" s="4" t="s">
        <v>808</v>
      </c>
    </row>
    <row r="5130" spans="1:6" x14ac:dyDescent="0.25">
      <c r="A5130" s="4" t="str">
        <f>CONCATENATE("3071-0000-9545","")</f>
        <v>3071-0000-9545</v>
      </c>
      <c r="B5130" s="4" t="s">
        <v>8642</v>
      </c>
      <c r="C5130" s="5">
        <v>41489</v>
      </c>
      <c r="D5130" s="5">
        <v>41549</v>
      </c>
      <c r="E5130" s="4" t="s">
        <v>1410</v>
      </c>
      <c r="F5130" s="4" t="s">
        <v>4459</v>
      </c>
    </row>
    <row r="5131" spans="1:6" x14ac:dyDescent="0.25">
      <c r="A5131" s="4" t="str">
        <f>CONCATENATE("3071-0000-8632","")</f>
        <v>3071-0000-8632</v>
      </c>
      <c r="B5131" s="4" t="s">
        <v>5641</v>
      </c>
      <c r="C5131" s="5">
        <v>41489</v>
      </c>
      <c r="D5131" s="5">
        <v>41549</v>
      </c>
      <c r="E5131" s="4" t="s">
        <v>5185</v>
      </c>
      <c r="F5131" s="4" t="s">
        <v>5250</v>
      </c>
    </row>
    <row r="5132" spans="1:6" x14ac:dyDescent="0.25">
      <c r="A5132" s="4" t="str">
        <f>CONCATENATE("3071-0000-6888","")</f>
        <v>3071-0000-6888</v>
      </c>
      <c r="B5132" s="4" t="s">
        <v>4618</v>
      </c>
      <c r="C5132" s="5">
        <v>41489</v>
      </c>
      <c r="D5132" s="5">
        <v>41549</v>
      </c>
      <c r="E5132" s="4" t="s">
        <v>1410</v>
      </c>
      <c r="F5132" s="4" t="s">
        <v>1410</v>
      </c>
    </row>
    <row r="5133" spans="1:6" x14ac:dyDescent="0.25">
      <c r="A5133" s="4" t="str">
        <f>CONCATENATE("3071-0000-7532","")</f>
        <v>3071-0000-7532</v>
      </c>
      <c r="B5133" s="4" t="s">
        <v>4906</v>
      </c>
      <c r="C5133" s="5">
        <v>41489</v>
      </c>
      <c r="D5133" s="5">
        <v>41549</v>
      </c>
      <c r="E5133" s="4" t="s">
        <v>1410</v>
      </c>
      <c r="F5133" s="4" t="s">
        <v>4616</v>
      </c>
    </row>
    <row r="5134" spans="1:6" x14ac:dyDescent="0.25">
      <c r="A5134" s="4" t="str">
        <f>CONCATENATE("3071-0000-6550","")</f>
        <v>3071-0000-6550</v>
      </c>
      <c r="B5134" s="4" t="s">
        <v>7798</v>
      </c>
      <c r="C5134" s="5">
        <v>41489</v>
      </c>
      <c r="D5134" s="5">
        <v>41549</v>
      </c>
      <c r="E5134" s="4" t="s">
        <v>5185</v>
      </c>
      <c r="F5134" s="4" t="s">
        <v>5185</v>
      </c>
    </row>
    <row r="5135" spans="1:6" x14ac:dyDescent="0.25">
      <c r="A5135" s="4" t="str">
        <f>CONCATENATE("3071-0000-9597","")</f>
        <v>3071-0000-9597</v>
      </c>
      <c r="B5135" s="4" t="s">
        <v>8673</v>
      </c>
      <c r="C5135" s="5">
        <v>41489</v>
      </c>
      <c r="D5135" s="5">
        <v>41549</v>
      </c>
      <c r="E5135" s="4" t="s">
        <v>1410</v>
      </c>
      <c r="F5135" s="4" t="s">
        <v>4459</v>
      </c>
    </row>
    <row r="5136" spans="1:6" x14ac:dyDescent="0.25">
      <c r="A5136" s="4" t="str">
        <f>CONCATENATE("3071-0000-9571","")</f>
        <v>3071-0000-9571</v>
      </c>
      <c r="B5136" s="4" t="s">
        <v>8609</v>
      </c>
      <c r="C5136" s="5">
        <v>41489</v>
      </c>
      <c r="D5136" s="5">
        <v>41549</v>
      </c>
      <c r="E5136" s="4" t="s">
        <v>1410</v>
      </c>
      <c r="F5136" s="4" t="s">
        <v>4459</v>
      </c>
    </row>
    <row r="5137" spans="1:6" x14ac:dyDescent="0.25">
      <c r="A5137" s="4" t="str">
        <f>CONCATENATE("3071-0000-9421","")</f>
        <v>3071-0000-9421</v>
      </c>
      <c r="B5137" s="4" t="s">
        <v>8496</v>
      </c>
      <c r="C5137" s="5">
        <v>41489</v>
      </c>
      <c r="D5137" s="5">
        <v>41549</v>
      </c>
      <c r="E5137" s="4" t="s">
        <v>1410</v>
      </c>
      <c r="F5137" s="4" t="s">
        <v>4459</v>
      </c>
    </row>
    <row r="5138" spans="1:6" x14ac:dyDescent="0.25">
      <c r="A5138" s="4" t="str">
        <f>CONCATENATE("3071-0000-9214","")</f>
        <v>3071-0000-9214</v>
      </c>
      <c r="B5138" s="4" t="s">
        <v>8297</v>
      </c>
      <c r="C5138" s="5">
        <v>41489</v>
      </c>
      <c r="D5138" s="5">
        <v>41549</v>
      </c>
      <c r="E5138" s="4" t="s">
        <v>5185</v>
      </c>
      <c r="F5138" s="4" t="s">
        <v>5185</v>
      </c>
    </row>
    <row r="5139" spans="1:6" x14ac:dyDescent="0.25">
      <c r="A5139" s="4" t="str">
        <f>CONCATENATE("3071-0000-8543","")</f>
        <v>3071-0000-8543</v>
      </c>
      <c r="B5139" s="4" t="s">
        <v>6084</v>
      </c>
      <c r="C5139" s="5">
        <v>41489</v>
      </c>
      <c r="D5139" s="5">
        <v>41549</v>
      </c>
      <c r="E5139" s="4" t="s">
        <v>5185</v>
      </c>
      <c r="F5139" s="4" t="s">
        <v>5945</v>
      </c>
    </row>
    <row r="5140" spans="1:6" x14ac:dyDescent="0.25">
      <c r="A5140" s="4" t="str">
        <f>CONCATENATE("3071-0000-5841","")</f>
        <v>3071-0000-5841</v>
      </c>
      <c r="B5140" s="4" t="s">
        <v>7318</v>
      </c>
      <c r="C5140" s="5">
        <v>41489</v>
      </c>
      <c r="D5140" s="5">
        <v>41549</v>
      </c>
      <c r="E5140" s="4" t="s">
        <v>5185</v>
      </c>
      <c r="F5140" s="4" t="s">
        <v>5185</v>
      </c>
    </row>
    <row r="5141" spans="1:6" x14ac:dyDescent="0.25">
      <c r="A5141" s="4" t="str">
        <f>CONCATENATE("3071-0000-9307","")</f>
        <v>3071-0000-9307</v>
      </c>
      <c r="B5141" s="4" t="s">
        <v>8341</v>
      </c>
      <c r="C5141" s="5">
        <v>41489</v>
      </c>
      <c r="D5141" s="5">
        <v>41549</v>
      </c>
      <c r="E5141" s="4" t="s">
        <v>5185</v>
      </c>
      <c r="F5141" s="4" t="s">
        <v>5185</v>
      </c>
    </row>
    <row r="5142" spans="1:6" x14ac:dyDescent="0.25">
      <c r="A5142" s="4" t="str">
        <f>CONCATENATE("3071-0000-8181","")</f>
        <v>3071-0000-8181</v>
      </c>
      <c r="B5142" s="4" t="s">
        <v>6015</v>
      </c>
      <c r="C5142" s="5">
        <v>41489</v>
      </c>
      <c r="D5142" s="5">
        <v>41549</v>
      </c>
      <c r="E5142" s="4" t="s">
        <v>5185</v>
      </c>
      <c r="F5142" s="4" t="s">
        <v>5185</v>
      </c>
    </row>
    <row r="5143" spans="1:6" x14ac:dyDescent="0.25">
      <c r="A5143" s="4" t="str">
        <f>CONCATENATE("3071-0000-3579","")</f>
        <v>3071-0000-3579</v>
      </c>
      <c r="B5143" s="4" t="s">
        <v>1718</v>
      </c>
      <c r="C5143" s="5">
        <v>41489</v>
      </c>
      <c r="D5143" s="5">
        <v>41549</v>
      </c>
      <c r="E5143" s="4" t="s">
        <v>1410</v>
      </c>
      <c r="F5143" s="4" t="s">
        <v>1411</v>
      </c>
    </row>
    <row r="5144" spans="1:6" x14ac:dyDescent="0.25">
      <c r="A5144" s="4" t="str">
        <f>CONCATENATE("3071-0000-5844","")</f>
        <v>3071-0000-5844</v>
      </c>
      <c r="B5144" s="4" t="s">
        <v>7347</v>
      </c>
      <c r="C5144" s="5">
        <v>41489</v>
      </c>
      <c r="D5144" s="5">
        <v>41549</v>
      </c>
      <c r="E5144" s="4" t="s">
        <v>5185</v>
      </c>
      <c r="F5144" s="4" t="s">
        <v>5185</v>
      </c>
    </row>
    <row r="5145" spans="1:6" x14ac:dyDescent="0.25">
      <c r="A5145" s="4" t="str">
        <f>CONCATENATE("3071-0000-2672","")</f>
        <v>3071-0000-2672</v>
      </c>
      <c r="B5145" s="4" t="s">
        <v>3387</v>
      </c>
      <c r="C5145" s="5">
        <v>41489</v>
      </c>
      <c r="D5145" s="5">
        <v>41549</v>
      </c>
      <c r="E5145" s="4" t="s">
        <v>1857</v>
      </c>
      <c r="F5145" s="4" t="s">
        <v>3306</v>
      </c>
    </row>
    <row r="5146" spans="1:6" x14ac:dyDescent="0.25">
      <c r="A5146" s="4" t="str">
        <f>CONCATENATE("3071-0000-8266","")</f>
        <v>3071-0000-8266</v>
      </c>
      <c r="B5146" s="4" t="s">
        <v>6012</v>
      </c>
      <c r="C5146" s="5">
        <v>41489</v>
      </c>
      <c r="D5146" s="5">
        <v>41549</v>
      </c>
      <c r="E5146" s="4" t="s">
        <v>5185</v>
      </c>
      <c r="F5146" s="4" t="s">
        <v>5185</v>
      </c>
    </row>
    <row r="5147" spans="1:6" x14ac:dyDescent="0.25">
      <c r="A5147" s="4" t="str">
        <f>CONCATENATE("3071-0000-5320","")</f>
        <v>3071-0000-5320</v>
      </c>
      <c r="B5147" s="4" t="s">
        <v>6668</v>
      </c>
      <c r="C5147" s="5">
        <v>41489</v>
      </c>
      <c r="D5147" s="5">
        <v>41549</v>
      </c>
      <c r="E5147" s="4" t="s">
        <v>5185</v>
      </c>
      <c r="F5147" s="4" t="s">
        <v>5185</v>
      </c>
    </row>
    <row r="5148" spans="1:6" x14ac:dyDescent="0.25">
      <c r="A5148" s="4" t="str">
        <f>CONCATENATE("3071-0000-4781","")</f>
        <v>3071-0000-4781</v>
      </c>
      <c r="B5148" s="4" t="s">
        <v>9049</v>
      </c>
      <c r="C5148" s="5">
        <v>41489</v>
      </c>
      <c r="D5148" s="5">
        <v>41549</v>
      </c>
      <c r="E5148" s="4" t="s">
        <v>1410</v>
      </c>
      <c r="F5148" s="4" t="s">
        <v>8696</v>
      </c>
    </row>
    <row r="5149" spans="1:6" x14ac:dyDescent="0.25">
      <c r="A5149" s="4" t="str">
        <f>CONCATENATE("3071-0000-9048","")</f>
        <v>3071-0000-9048</v>
      </c>
      <c r="B5149" s="4" t="s">
        <v>5304</v>
      </c>
      <c r="C5149" s="5">
        <v>41489</v>
      </c>
      <c r="D5149" s="5">
        <v>41549</v>
      </c>
      <c r="E5149" s="4" t="s">
        <v>5185</v>
      </c>
      <c r="F5149" s="4" t="s">
        <v>5292</v>
      </c>
    </row>
    <row r="5150" spans="1:6" x14ac:dyDescent="0.25">
      <c r="A5150" s="4" t="str">
        <f>CONCATENATE("3071-0000-4783","")</f>
        <v>3071-0000-4783</v>
      </c>
      <c r="B5150" s="4" t="s">
        <v>9018</v>
      </c>
      <c r="C5150" s="5">
        <v>41489</v>
      </c>
      <c r="D5150" s="5">
        <v>41549</v>
      </c>
      <c r="E5150" s="4" t="s">
        <v>1410</v>
      </c>
      <c r="F5150" s="4" t="s">
        <v>8696</v>
      </c>
    </row>
    <row r="5151" spans="1:6" x14ac:dyDescent="0.25">
      <c r="A5151" s="4" t="str">
        <f>CONCATENATE("3071-0000-5574","")</f>
        <v>3071-0000-5574</v>
      </c>
      <c r="B5151" s="4" t="s">
        <v>6943</v>
      </c>
      <c r="C5151" s="5">
        <v>41489</v>
      </c>
      <c r="D5151" s="5">
        <v>41549</v>
      </c>
      <c r="E5151" s="4" t="s">
        <v>5185</v>
      </c>
      <c r="F5151" s="4" t="s">
        <v>5185</v>
      </c>
    </row>
    <row r="5152" spans="1:6" x14ac:dyDescent="0.25">
      <c r="A5152" s="4" t="str">
        <f>CONCATENATE("3071-0000-8856","")</f>
        <v>3071-0000-8856</v>
      </c>
      <c r="B5152" s="4" t="s">
        <v>6494</v>
      </c>
      <c r="C5152" s="5">
        <v>41489</v>
      </c>
      <c r="D5152" s="5">
        <v>41549</v>
      </c>
      <c r="E5152" s="4" t="s">
        <v>5185</v>
      </c>
      <c r="F5152" s="4" t="s">
        <v>5292</v>
      </c>
    </row>
    <row r="5153" spans="1:6" x14ac:dyDescent="0.25">
      <c r="A5153" s="4" t="str">
        <f>CONCATENATE("3071-0000-9027","")</f>
        <v>3071-0000-9027</v>
      </c>
      <c r="B5153" s="4" t="s">
        <v>6502</v>
      </c>
      <c r="C5153" s="5">
        <v>41489</v>
      </c>
      <c r="D5153" s="5">
        <v>41549</v>
      </c>
      <c r="E5153" s="4" t="s">
        <v>5185</v>
      </c>
      <c r="F5153" s="4" t="s">
        <v>5292</v>
      </c>
    </row>
    <row r="5154" spans="1:6" x14ac:dyDescent="0.25">
      <c r="A5154" s="4" t="str">
        <f>CONCATENATE("3071-0000-2166","")</f>
        <v>3071-0000-2166</v>
      </c>
      <c r="B5154" s="4" t="s">
        <v>3214</v>
      </c>
      <c r="C5154" s="5">
        <v>41489</v>
      </c>
      <c r="D5154" s="5">
        <v>41549</v>
      </c>
      <c r="E5154" s="4" t="s">
        <v>2944</v>
      </c>
      <c r="F5154" s="4" t="s">
        <v>2945</v>
      </c>
    </row>
    <row r="5155" spans="1:6" x14ac:dyDescent="0.25">
      <c r="A5155" s="4" t="str">
        <f>CONCATENATE("3071-0000-3787","")</f>
        <v>3071-0000-3787</v>
      </c>
      <c r="B5155" s="4" t="s">
        <v>3828</v>
      </c>
      <c r="C5155" s="5">
        <v>41489</v>
      </c>
      <c r="D5155" s="5">
        <v>41549</v>
      </c>
      <c r="E5155" s="4" t="s">
        <v>7</v>
      </c>
      <c r="F5155" s="4" t="s">
        <v>3818</v>
      </c>
    </row>
    <row r="5156" spans="1:6" x14ac:dyDescent="0.25">
      <c r="A5156" s="4" t="str">
        <f>CONCATENATE("3071-0000-8349","")</f>
        <v>3071-0000-8349</v>
      </c>
      <c r="B5156" s="4" t="s">
        <v>5665</v>
      </c>
      <c r="C5156" s="5">
        <v>41489</v>
      </c>
      <c r="D5156" s="5">
        <v>41549</v>
      </c>
      <c r="E5156" s="4" t="s">
        <v>5185</v>
      </c>
      <c r="F5156" s="4" t="s">
        <v>5185</v>
      </c>
    </row>
    <row r="5157" spans="1:6" x14ac:dyDescent="0.25">
      <c r="A5157" s="4" t="str">
        <f>CONCATENATE("3071-0000-5467","")</f>
        <v>3071-0000-5467</v>
      </c>
      <c r="B5157" s="4" t="s">
        <v>6820</v>
      </c>
      <c r="C5157" s="5">
        <v>41489</v>
      </c>
      <c r="D5157" s="5">
        <v>41549</v>
      </c>
      <c r="E5157" s="4" t="s">
        <v>5185</v>
      </c>
      <c r="F5157" s="4" t="s">
        <v>5185</v>
      </c>
    </row>
    <row r="5158" spans="1:6" x14ac:dyDescent="0.25">
      <c r="A5158" s="4" t="str">
        <f>CONCATENATE("3071-0000-4169","")</f>
        <v>3071-0000-4169</v>
      </c>
      <c r="B5158" s="4" t="s">
        <v>3836</v>
      </c>
      <c r="C5158" s="5">
        <v>41489</v>
      </c>
      <c r="D5158" s="5">
        <v>41549</v>
      </c>
      <c r="E5158" s="4" t="s">
        <v>7</v>
      </c>
      <c r="F5158" s="4" t="s">
        <v>3818</v>
      </c>
    </row>
    <row r="5159" spans="1:6" x14ac:dyDescent="0.25">
      <c r="A5159" s="4" t="str">
        <f>CONCATENATE("3071-0000-5332","")</f>
        <v>3071-0000-5332</v>
      </c>
      <c r="B5159" s="4" t="s">
        <v>6816</v>
      </c>
      <c r="C5159" s="5">
        <v>41489</v>
      </c>
      <c r="D5159" s="5">
        <v>41549</v>
      </c>
      <c r="E5159" s="4" t="s">
        <v>5185</v>
      </c>
      <c r="F5159" s="4" t="s">
        <v>5185</v>
      </c>
    </row>
    <row r="5160" spans="1:6" x14ac:dyDescent="0.25">
      <c r="A5160" s="4" t="str">
        <f>CONCATENATE("3071-0000-9157","")</f>
        <v>3071-0000-9157</v>
      </c>
      <c r="B5160" s="4" t="s">
        <v>5187</v>
      </c>
      <c r="C5160" s="5">
        <v>41489</v>
      </c>
      <c r="D5160" s="5">
        <v>41549</v>
      </c>
      <c r="E5160" s="4" t="s">
        <v>5185</v>
      </c>
      <c r="F5160" s="4" t="s">
        <v>5185</v>
      </c>
    </row>
    <row r="5161" spans="1:6" x14ac:dyDescent="0.25">
      <c r="A5161" s="4" t="str">
        <f>CONCATENATE("3071-0000-7889","")</f>
        <v>3071-0000-7889</v>
      </c>
      <c r="B5161" s="4" t="s">
        <v>5494</v>
      </c>
      <c r="C5161" s="5">
        <v>41489</v>
      </c>
      <c r="D5161" s="5">
        <v>41549</v>
      </c>
      <c r="E5161" s="4" t="s">
        <v>5185</v>
      </c>
      <c r="F5161" s="4" t="s">
        <v>5185</v>
      </c>
    </row>
    <row r="5162" spans="1:6" x14ac:dyDescent="0.25">
      <c r="A5162" s="4" t="str">
        <f>CONCATENATE("3071-0000-7739","")</f>
        <v>3071-0000-7739</v>
      </c>
      <c r="B5162" s="4" t="s">
        <v>4266</v>
      </c>
      <c r="C5162" s="5">
        <v>41489</v>
      </c>
      <c r="D5162" s="5">
        <v>41549</v>
      </c>
      <c r="E5162" s="4" t="s">
        <v>1410</v>
      </c>
      <c r="F5162" s="4" t="s">
        <v>1410</v>
      </c>
    </row>
    <row r="5163" spans="1:6" x14ac:dyDescent="0.25">
      <c r="A5163" s="4" t="str">
        <f>CONCATENATE("3071-0000-0270","")</f>
        <v>3071-0000-0270</v>
      </c>
      <c r="B5163" s="4" t="s">
        <v>658</v>
      </c>
      <c r="C5163" s="5">
        <v>41489</v>
      </c>
      <c r="D5163" s="5">
        <v>41549</v>
      </c>
      <c r="E5163" s="4" t="s">
        <v>7</v>
      </c>
      <c r="F5163" s="4" t="s">
        <v>7</v>
      </c>
    </row>
    <row r="5164" spans="1:6" x14ac:dyDescent="0.25">
      <c r="A5164" s="4" t="str">
        <f>CONCATENATE("3071-0000-1187","")</f>
        <v>3071-0000-1187</v>
      </c>
      <c r="B5164" s="4" t="s">
        <v>2207</v>
      </c>
      <c r="C5164" s="5">
        <v>41489</v>
      </c>
      <c r="D5164" s="5">
        <v>41549</v>
      </c>
      <c r="E5164" s="4" t="s">
        <v>1857</v>
      </c>
      <c r="F5164" s="4" t="s">
        <v>2108</v>
      </c>
    </row>
    <row r="5165" spans="1:6" x14ac:dyDescent="0.25">
      <c r="A5165" s="4" t="str">
        <f>CONCATENATE("3071-0000-0651","")</f>
        <v>3071-0000-0651</v>
      </c>
      <c r="B5165" s="4" t="s">
        <v>90</v>
      </c>
      <c r="C5165" s="5">
        <v>41489</v>
      </c>
      <c r="D5165" s="5">
        <v>41549</v>
      </c>
      <c r="E5165" s="4" t="s">
        <v>7</v>
      </c>
      <c r="F5165" s="4" t="s">
        <v>7</v>
      </c>
    </row>
    <row r="5166" spans="1:6" x14ac:dyDescent="0.25">
      <c r="A5166" s="4" t="str">
        <f>CONCATENATE("3071-0000-9096","")</f>
        <v>3071-0000-9096</v>
      </c>
      <c r="B5166" s="4" t="s">
        <v>5266</v>
      </c>
      <c r="C5166" s="5">
        <v>41489</v>
      </c>
      <c r="D5166" s="5">
        <v>41549</v>
      </c>
      <c r="E5166" s="4" t="s">
        <v>5185</v>
      </c>
      <c r="F5166" s="4" t="s">
        <v>5185</v>
      </c>
    </row>
    <row r="5167" spans="1:6" x14ac:dyDescent="0.25">
      <c r="A5167" s="4" t="str">
        <f>CONCATENATE("3071-0000-8897","")</f>
        <v>3071-0000-8897</v>
      </c>
      <c r="B5167" s="4" t="s">
        <v>5239</v>
      </c>
      <c r="C5167" s="5">
        <v>41489</v>
      </c>
      <c r="D5167" s="5">
        <v>41549</v>
      </c>
      <c r="E5167" s="4" t="s">
        <v>5185</v>
      </c>
      <c r="F5167" s="4" t="s">
        <v>5185</v>
      </c>
    </row>
    <row r="5168" spans="1:6" x14ac:dyDescent="0.25">
      <c r="A5168" s="4" t="str">
        <f>CONCATENATE("3071-0000-8496","")</f>
        <v>3071-0000-8496</v>
      </c>
      <c r="B5168" s="4" t="s">
        <v>6145</v>
      </c>
      <c r="C5168" s="5">
        <v>41489</v>
      </c>
      <c r="D5168" s="5">
        <v>41549</v>
      </c>
      <c r="E5168" s="4" t="s">
        <v>5185</v>
      </c>
      <c r="F5168" s="4" t="s">
        <v>5945</v>
      </c>
    </row>
    <row r="5169" spans="1:6" x14ac:dyDescent="0.25">
      <c r="A5169" s="4" t="str">
        <f>CONCATENATE("3071-0000-8862","")</f>
        <v>3071-0000-8862</v>
      </c>
      <c r="B5169" s="4" t="s">
        <v>6418</v>
      </c>
      <c r="C5169" s="5">
        <v>41489</v>
      </c>
      <c r="D5169" s="5">
        <v>41549</v>
      </c>
      <c r="E5169" s="4" t="s">
        <v>5185</v>
      </c>
      <c r="F5169" s="4" t="s">
        <v>5292</v>
      </c>
    </row>
    <row r="5170" spans="1:6" x14ac:dyDescent="0.25">
      <c r="A5170" s="4" t="str">
        <f>CONCATENATE("3071-0000-6230","")</f>
        <v>3071-0000-6230</v>
      </c>
      <c r="B5170" s="4" t="s">
        <v>6951</v>
      </c>
      <c r="C5170" s="5">
        <v>41489</v>
      </c>
      <c r="D5170" s="5">
        <v>41549</v>
      </c>
      <c r="E5170" s="4" t="s">
        <v>1410</v>
      </c>
      <c r="F5170" s="4" t="s">
        <v>4616</v>
      </c>
    </row>
    <row r="5171" spans="1:6" x14ac:dyDescent="0.25">
      <c r="A5171" s="4" t="str">
        <f>CONCATENATE("3071-0000-2165","")</f>
        <v>3071-0000-2165</v>
      </c>
      <c r="B5171" s="4" t="s">
        <v>3211</v>
      </c>
      <c r="C5171" s="5">
        <v>41489</v>
      </c>
      <c r="D5171" s="5">
        <v>41549</v>
      </c>
      <c r="E5171" s="4" t="s">
        <v>2944</v>
      </c>
      <c r="F5171" s="4" t="s">
        <v>2945</v>
      </c>
    </row>
    <row r="5172" spans="1:6" x14ac:dyDescent="0.25">
      <c r="A5172" s="4" t="str">
        <f>CONCATENATE("3071-0000-5463","")</f>
        <v>3071-0000-5463</v>
      </c>
      <c r="B5172" s="4" t="s">
        <v>6834</v>
      </c>
      <c r="C5172" s="5">
        <v>41489</v>
      </c>
      <c r="D5172" s="5">
        <v>41549</v>
      </c>
      <c r="E5172" s="4" t="s">
        <v>5185</v>
      </c>
      <c r="F5172" s="4" t="s">
        <v>5185</v>
      </c>
    </row>
    <row r="5173" spans="1:6" x14ac:dyDescent="0.25">
      <c r="A5173" s="4" t="str">
        <f>CONCATENATE("3071-0000-5002","")</f>
        <v>3071-0000-5002</v>
      </c>
      <c r="B5173" s="4" t="s">
        <v>8695</v>
      </c>
      <c r="C5173" s="5">
        <v>41489</v>
      </c>
      <c r="D5173" s="5">
        <v>41549</v>
      </c>
      <c r="E5173" s="4" t="s">
        <v>1410</v>
      </c>
      <c r="F5173" s="4" t="s">
        <v>8696</v>
      </c>
    </row>
    <row r="5174" spans="1:6" x14ac:dyDescent="0.25">
      <c r="A5174" s="4" t="str">
        <f>CONCATENATE("3071-0000-0952","")</f>
        <v>3071-0000-0952</v>
      </c>
      <c r="B5174" s="4" t="s">
        <v>2172</v>
      </c>
      <c r="C5174" s="5">
        <v>41489</v>
      </c>
      <c r="D5174" s="5">
        <v>41549</v>
      </c>
      <c r="E5174" s="4" t="s">
        <v>1857</v>
      </c>
      <c r="F5174" s="4" t="s">
        <v>1857</v>
      </c>
    </row>
    <row r="5175" spans="1:6" x14ac:dyDescent="0.25">
      <c r="A5175" s="4" t="str">
        <f>CONCATENATE("3071-0000-6894","")</f>
        <v>3071-0000-6894</v>
      </c>
      <c r="B5175" s="4" t="s">
        <v>4627</v>
      </c>
      <c r="C5175" s="5">
        <v>41489</v>
      </c>
      <c r="D5175" s="5">
        <v>41549</v>
      </c>
      <c r="E5175" s="4" t="s">
        <v>1410</v>
      </c>
      <c r="F5175" s="4" t="s">
        <v>1410</v>
      </c>
    </row>
    <row r="5176" spans="1:6" x14ac:dyDescent="0.25">
      <c r="A5176" s="4" t="str">
        <f>CONCATENATE("3071-0000-6766","")</f>
        <v>3071-0000-6766</v>
      </c>
      <c r="B5176" s="4" t="s">
        <v>8262</v>
      </c>
      <c r="C5176" s="5">
        <v>41489</v>
      </c>
      <c r="D5176" s="5">
        <v>41549</v>
      </c>
      <c r="E5176" s="4" t="s">
        <v>1410</v>
      </c>
      <c r="F5176" s="4" t="s">
        <v>8192</v>
      </c>
    </row>
    <row r="5177" spans="1:6" x14ac:dyDescent="0.25">
      <c r="A5177" s="4" t="str">
        <f>CONCATENATE("3071-0000-6852","")</f>
        <v>3071-0000-6852</v>
      </c>
      <c r="B5177" s="4" t="s">
        <v>8260</v>
      </c>
      <c r="C5177" s="5">
        <v>41489</v>
      </c>
      <c r="D5177" s="5">
        <v>41549</v>
      </c>
      <c r="E5177" s="4" t="s">
        <v>1410</v>
      </c>
      <c r="F5177" s="4" t="s">
        <v>8192</v>
      </c>
    </row>
    <row r="5178" spans="1:6" x14ac:dyDescent="0.25">
      <c r="A5178" s="4" t="str">
        <f>CONCATENATE("3071-0000-0862","")</f>
        <v>3071-0000-0862</v>
      </c>
      <c r="B5178" s="4" t="s">
        <v>1959</v>
      </c>
      <c r="C5178" s="5">
        <v>41489</v>
      </c>
      <c r="D5178" s="5">
        <v>41549</v>
      </c>
      <c r="E5178" s="4" t="s">
        <v>1857</v>
      </c>
      <c r="F5178" s="4" t="s">
        <v>1857</v>
      </c>
    </row>
    <row r="5179" spans="1:6" x14ac:dyDescent="0.25">
      <c r="A5179" s="4" t="str">
        <f>CONCATENATE("3071-0000-3848","")</f>
        <v>3071-0000-3848</v>
      </c>
      <c r="B5179" s="4" t="s">
        <v>3911</v>
      </c>
      <c r="C5179" s="5">
        <v>41489</v>
      </c>
      <c r="D5179" s="5">
        <v>41549</v>
      </c>
      <c r="E5179" s="4" t="s">
        <v>7</v>
      </c>
      <c r="F5179" s="4" t="s">
        <v>1419</v>
      </c>
    </row>
    <row r="5180" spans="1:6" x14ac:dyDescent="0.25">
      <c r="A5180" s="4" t="str">
        <f>CONCATENATE("3071-0000-3852","")</f>
        <v>3071-0000-3852</v>
      </c>
      <c r="B5180" s="4" t="s">
        <v>3925</v>
      </c>
      <c r="C5180" s="5">
        <v>41489</v>
      </c>
      <c r="D5180" s="5">
        <v>41549</v>
      </c>
      <c r="E5180" s="4" t="s">
        <v>2944</v>
      </c>
      <c r="F5180" s="4" t="s">
        <v>3513</v>
      </c>
    </row>
    <row r="5181" spans="1:6" x14ac:dyDescent="0.25">
      <c r="A5181" s="4" t="str">
        <f>CONCATENATE("3071-0000-3961","")</f>
        <v>3071-0000-3961</v>
      </c>
      <c r="B5181" s="4" t="s">
        <v>4175</v>
      </c>
      <c r="C5181" s="5">
        <v>41489</v>
      </c>
      <c r="D5181" s="5">
        <v>41549</v>
      </c>
      <c r="E5181" s="4" t="s">
        <v>7</v>
      </c>
      <c r="F5181" s="4" t="s">
        <v>1419</v>
      </c>
    </row>
    <row r="5182" spans="1:6" x14ac:dyDescent="0.25">
      <c r="A5182" s="4" t="str">
        <f>CONCATENATE("3071-0000-9350","")</f>
        <v>3071-0000-9350</v>
      </c>
      <c r="B5182" s="4" t="s">
        <v>8458</v>
      </c>
      <c r="C5182" s="5">
        <v>41489</v>
      </c>
      <c r="D5182" s="5">
        <v>41549</v>
      </c>
      <c r="E5182" s="4" t="s">
        <v>1410</v>
      </c>
      <c r="F5182" s="4" t="s">
        <v>4459</v>
      </c>
    </row>
    <row r="5183" spans="1:6" x14ac:dyDescent="0.25">
      <c r="A5183" s="4" t="str">
        <f>CONCATENATE("3071-0000-5585","")</f>
        <v>3071-0000-5585</v>
      </c>
      <c r="B5183" s="4" t="s">
        <v>7497</v>
      </c>
      <c r="C5183" s="5">
        <v>41489</v>
      </c>
      <c r="D5183" s="5">
        <v>41549</v>
      </c>
      <c r="E5183" s="4" t="s">
        <v>5185</v>
      </c>
      <c r="F5183" s="4" t="s">
        <v>5185</v>
      </c>
    </row>
    <row r="5184" spans="1:6" x14ac:dyDescent="0.25">
      <c r="A5184" s="4" t="str">
        <f>CONCATENATE("3071-0000-0170","")</f>
        <v>3071-0000-0170</v>
      </c>
      <c r="B5184" s="4" t="s">
        <v>354</v>
      </c>
      <c r="C5184" s="5">
        <v>41489</v>
      </c>
      <c r="D5184" s="5">
        <v>41549</v>
      </c>
      <c r="E5184" s="4" t="s">
        <v>7</v>
      </c>
      <c r="F5184" s="4" t="s">
        <v>7</v>
      </c>
    </row>
    <row r="5185" spans="1:6" x14ac:dyDescent="0.25">
      <c r="A5185" s="4" t="str">
        <f>CONCATENATE("3071-0000-5840","")</f>
        <v>3071-0000-5840</v>
      </c>
      <c r="B5185" s="4" t="s">
        <v>7321</v>
      </c>
      <c r="C5185" s="5">
        <v>41489</v>
      </c>
      <c r="D5185" s="5">
        <v>41549</v>
      </c>
      <c r="E5185" s="4" t="s">
        <v>5185</v>
      </c>
      <c r="F5185" s="4" t="s">
        <v>5185</v>
      </c>
    </row>
    <row r="5186" spans="1:6" x14ac:dyDescent="0.25">
      <c r="A5186" s="4" t="str">
        <f>CONCATENATE("3071-0000-1350","")</f>
        <v>3071-0000-1350</v>
      </c>
      <c r="B5186" s="4" t="s">
        <v>2490</v>
      </c>
      <c r="C5186" s="5">
        <v>41489</v>
      </c>
      <c r="D5186" s="5">
        <v>41549</v>
      </c>
      <c r="E5186" s="4" t="s">
        <v>1381</v>
      </c>
      <c r="F5186" s="4" t="s">
        <v>2303</v>
      </c>
    </row>
    <row r="5187" spans="1:6" x14ac:dyDescent="0.25">
      <c r="A5187" s="4" t="str">
        <f>CONCATENATE("3071-0000-1347","")</f>
        <v>3071-0000-1347</v>
      </c>
      <c r="B5187" s="4" t="s">
        <v>2484</v>
      </c>
      <c r="C5187" s="5">
        <v>41489</v>
      </c>
      <c r="D5187" s="5">
        <v>41549</v>
      </c>
      <c r="E5187" s="4" t="s">
        <v>1381</v>
      </c>
      <c r="F5187" s="4" t="s">
        <v>2303</v>
      </c>
    </row>
    <row r="5188" spans="1:6" x14ac:dyDescent="0.25">
      <c r="A5188" s="4" t="str">
        <f>CONCATENATE("3071-0000-1873","")</f>
        <v>3071-0000-1873</v>
      </c>
      <c r="B5188" s="4" t="s">
        <v>2607</v>
      </c>
      <c r="C5188" s="5">
        <v>41489</v>
      </c>
      <c r="D5188" s="5">
        <v>41549</v>
      </c>
      <c r="E5188" s="4" t="s">
        <v>1381</v>
      </c>
      <c r="F5188" s="4" t="s">
        <v>2303</v>
      </c>
    </row>
    <row r="5189" spans="1:6" x14ac:dyDescent="0.25">
      <c r="A5189" s="4" t="str">
        <f>CONCATENATE("3071-0000-6963","")</f>
        <v>3071-0000-6963</v>
      </c>
      <c r="B5189" s="4" t="s">
        <v>4481</v>
      </c>
      <c r="C5189" s="5">
        <v>41489</v>
      </c>
      <c r="D5189" s="5">
        <v>41549</v>
      </c>
      <c r="E5189" s="4" t="s">
        <v>1410</v>
      </c>
      <c r="F5189" s="4" t="s">
        <v>1410</v>
      </c>
    </row>
    <row r="5190" spans="1:6" x14ac:dyDescent="0.25">
      <c r="A5190" s="4" t="str">
        <f>CONCATENATE("3071-0000-6986","")</f>
        <v>3071-0000-6986</v>
      </c>
      <c r="B5190" s="4" t="s">
        <v>4345</v>
      </c>
      <c r="C5190" s="5">
        <v>41489</v>
      </c>
      <c r="D5190" s="5">
        <v>41549</v>
      </c>
      <c r="E5190" s="4" t="s">
        <v>1410</v>
      </c>
      <c r="F5190" s="4" t="s">
        <v>1410</v>
      </c>
    </row>
    <row r="5191" spans="1:6" x14ac:dyDescent="0.25">
      <c r="A5191" s="4" t="str">
        <f>CONCATENATE("3071-0000-1284","")</f>
        <v>3071-0000-1284</v>
      </c>
      <c r="B5191" s="4" t="s">
        <v>2551</v>
      </c>
      <c r="C5191" s="5">
        <v>41489</v>
      </c>
      <c r="D5191" s="5">
        <v>41549</v>
      </c>
      <c r="E5191" s="4" t="s">
        <v>1381</v>
      </c>
      <c r="F5191" s="4" t="s">
        <v>2303</v>
      </c>
    </row>
    <row r="5192" spans="1:6" x14ac:dyDescent="0.25">
      <c r="A5192" s="4" t="str">
        <f>CONCATENATE("3071-0000-1391","")</f>
        <v>3071-0000-1391</v>
      </c>
      <c r="B5192" s="4" t="s">
        <v>2571</v>
      </c>
      <c r="C5192" s="5">
        <v>41489</v>
      </c>
      <c r="D5192" s="5">
        <v>41549</v>
      </c>
      <c r="E5192" s="4" t="s">
        <v>1381</v>
      </c>
      <c r="F5192" s="4" t="s">
        <v>2303</v>
      </c>
    </row>
    <row r="5193" spans="1:6" x14ac:dyDescent="0.25">
      <c r="A5193" s="4" t="str">
        <f>CONCATENATE("3071-0000-1387","")</f>
        <v>3071-0000-1387</v>
      </c>
      <c r="B5193" s="4" t="s">
        <v>2566</v>
      </c>
      <c r="C5193" s="5">
        <v>41489</v>
      </c>
      <c r="D5193" s="5">
        <v>41549</v>
      </c>
      <c r="E5193" s="4" t="s">
        <v>1381</v>
      </c>
      <c r="F5193" s="4" t="s">
        <v>2303</v>
      </c>
    </row>
    <row r="5194" spans="1:6" x14ac:dyDescent="0.25">
      <c r="A5194" s="4" t="str">
        <f>CONCATENATE("3071-0000-7577","")</f>
        <v>3071-0000-7577</v>
      </c>
      <c r="B5194" s="4" t="s">
        <v>4542</v>
      </c>
      <c r="C5194" s="5">
        <v>41489</v>
      </c>
      <c r="D5194" s="5">
        <v>41549</v>
      </c>
      <c r="E5194" s="4" t="s">
        <v>1410</v>
      </c>
      <c r="F5194" s="4" t="s">
        <v>1410</v>
      </c>
    </row>
    <row r="5195" spans="1:6" x14ac:dyDescent="0.25">
      <c r="A5195" s="4" t="str">
        <f>CONCATENATE("3071-0000-6471","")</f>
        <v>3071-0000-6471</v>
      </c>
      <c r="B5195" s="4" t="s">
        <v>8106</v>
      </c>
      <c r="C5195" s="5">
        <v>41489</v>
      </c>
      <c r="D5195" s="5">
        <v>41549</v>
      </c>
      <c r="E5195" s="4" t="s">
        <v>5185</v>
      </c>
      <c r="F5195" s="4" t="s">
        <v>5185</v>
      </c>
    </row>
    <row r="5196" spans="1:6" x14ac:dyDescent="0.25">
      <c r="A5196" s="4" t="str">
        <f>CONCATENATE("3071-0000-2619","")</f>
        <v>3071-0000-2619</v>
      </c>
      <c r="B5196" s="4" t="s">
        <v>3117</v>
      </c>
      <c r="C5196" s="5">
        <v>41489</v>
      </c>
      <c r="D5196" s="5">
        <v>41549</v>
      </c>
      <c r="E5196" s="4" t="s">
        <v>2944</v>
      </c>
      <c r="F5196" s="4" t="s">
        <v>3115</v>
      </c>
    </row>
    <row r="5197" spans="1:6" x14ac:dyDescent="0.25">
      <c r="A5197" s="4" t="str">
        <f>CONCATENATE("3071-0000-5901","")</f>
        <v>3071-0000-5901</v>
      </c>
      <c r="B5197" s="4" t="s">
        <v>7593</v>
      </c>
      <c r="C5197" s="5">
        <v>41489</v>
      </c>
      <c r="D5197" s="5">
        <v>41549</v>
      </c>
      <c r="E5197" s="4" t="s">
        <v>5185</v>
      </c>
      <c r="F5197" s="4" t="s">
        <v>5185</v>
      </c>
    </row>
    <row r="5198" spans="1:6" x14ac:dyDescent="0.25">
      <c r="A5198" s="4" t="str">
        <f>CONCATENATE("3071-0000-0151","")</f>
        <v>3071-0000-0151</v>
      </c>
      <c r="B5198" s="4" t="s">
        <v>327</v>
      </c>
      <c r="C5198" s="5">
        <v>41489</v>
      </c>
      <c r="D5198" s="5">
        <v>41549</v>
      </c>
      <c r="E5198" s="4" t="s">
        <v>7</v>
      </c>
      <c r="F5198" s="4" t="s">
        <v>7</v>
      </c>
    </row>
    <row r="5199" spans="1:6" x14ac:dyDescent="0.25">
      <c r="A5199" s="4" t="str">
        <f>CONCATENATE("3071-0000-2756","")</f>
        <v>3071-0000-2756</v>
      </c>
      <c r="B5199" s="4" t="s">
        <v>850</v>
      </c>
      <c r="C5199" s="5">
        <v>41489</v>
      </c>
      <c r="D5199" s="5">
        <v>41549</v>
      </c>
      <c r="E5199" s="4" t="s">
        <v>7</v>
      </c>
      <c r="F5199" s="4" t="s">
        <v>808</v>
      </c>
    </row>
    <row r="5200" spans="1:6" x14ac:dyDescent="0.25">
      <c r="A5200" s="4" t="str">
        <f>CONCATENATE("3071-0000-0546","")</f>
        <v>3071-0000-0546</v>
      </c>
      <c r="B5200" s="4" t="s">
        <v>417</v>
      </c>
      <c r="C5200" s="5">
        <v>41489</v>
      </c>
      <c r="D5200" s="5">
        <v>41549</v>
      </c>
      <c r="E5200" s="4" t="s">
        <v>7</v>
      </c>
      <c r="F5200" s="4" t="s">
        <v>7</v>
      </c>
    </row>
    <row r="5201" spans="1:6" x14ac:dyDescent="0.25">
      <c r="A5201" s="4" t="str">
        <f>CONCATENATE("3071-0000-2995","")</f>
        <v>3071-0000-2995</v>
      </c>
      <c r="B5201" s="4" t="s">
        <v>844</v>
      </c>
      <c r="C5201" s="5">
        <v>41489</v>
      </c>
      <c r="D5201" s="5">
        <v>41549</v>
      </c>
      <c r="E5201" s="4" t="s">
        <v>7</v>
      </c>
      <c r="F5201" s="4" t="s">
        <v>808</v>
      </c>
    </row>
    <row r="5202" spans="1:6" x14ac:dyDescent="0.25">
      <c r="A5202" s="4" t="str">
        <f>CONCATENATE("3071-0000-2761","")</f>
        <v>3071-0000-2761</v>
      </c>
      <c r="B5202" s="4" t="s">
        <v>854</v>
      </c>
      <c r="C5202" s="5">
        <v>41489</v>
      </c>
      <c r="D5202" s="5">
        <v>41549</v>
      </c>
      <c r="E5202" s="4" t="s">
        <v>7</v>
      </c>
      <c r="F5202" s="4" t="s">
        <v>808</v>
      </c>
    </row>
    <row r="5203" spans="1:6" x14ac:dyDescent="0.25">
      <c r="A5203" s="4" t="str">
        <f>CONCATENATE("3071-0000-8207","")</f>
        <v>3071-0000-8207</v>
      </c>
      <c r="B5203" s="4" t="s">
        <v>5962</v>
      </c>
      <c r="C5203" s="5">
        <v>41489</v>
      </c>
      <c r="D5203" s="5">
        <v>41549</v>
      </c>
      <c r="E5203" s="4" t="s">
        <v>5185</v>
      </c>
      <c r="F5203" s="4" t="s">
        <v>5185</v>
      </c>
    </row>
    <row r="5204" spans="1:6" x14ac:dyDescent="0.25">
      <c r="A5204" s="4" t="str">
        <f>CONCATENATE("3071-0000-4615","")</f>
        <v>3071-0000-4615</v>
      </c>
      <c r="B5204" s="4" t="s">
        <v>9145</v>
      </c>
      <c r="C5204" s="5">
        <v>41489</v>
      </c>
      <c r="D5204" s="5">
        <v>41549</v>
      </c>
      <c r="E5204" s="4" t="s">
        <v>1410</v>
      </c>
      <c r="F5204" s="4" t="s">
        <v>8696</v>
      </c>
    </row>
    <row r="5205" spans="1:6" x14ac:dyDescent="0.25">
      <c r="A5205" s="4" t="str">
        <f>CONCATENATE("3071-0000-6781","")</f>
        <v>3071-0000-6781</v>
      </c>
      <c r="B5205" s="4" t="s">
        <v>8062</v>
      </c>
      <c r="C5205" s="5">
        <v>41489</v>
      </c>
      <c r="D5205" s="5">
        <v>41549</v>
      </c>
      <c r="E5205" s="4" t="s">
        <v>1410</v>
      </c>
      <c r="F5205" s="4" t="s">
        <v>4655</v>
      </c>
    </row>
    <row r="5206" spans="1:6" x14ac:dyDescent="0.25">
      <c r="A5206" s="4" t="str">
        <f>CONCATENATE("3071-0000-6525","")</f>
        <v>3071-0000-6525</v>
      </c>
      <c r="B5206" s="4" t="s">
        <v>7949</v>
      </c>
      <c r="C5206" s="5">
        <v>41489</v>
      </c>
      <c r="D5206" s="5">
        <v>41549</v>
      </c>
      <c r="E5206" s="4" t="s">
        <v>5185</v>
      </c>
      <c r="F5206" s="4" t="s">
        <v>5185</v>
      </c>
    </row>
    <row r="5207" spans="1:6" x14ac:dyDescent="0.25">
      <c r="A5207" s="4" t="str">
        <f>CONCATENATE("3071-0000-5968","")</f>
        <v>3071-0000-5968</v>
      </c>
      <c r="B5207" s="4" t="s">
        <v>7007</v>
      </c>
      <c r="C5207" s="5">
        <v>41489</v>
      </c>
      <c r="D5207" s="5">
        <v>41549</v>
      </c>
      <c r="E5207" s="4" t="s">
        <v>5185</v>
      </c>
      <c r="F5207" s="4" t="s">
        <v>5185</v>
      </c>
    </row>
    <row r="5208" spans="1:6" x14ac:dyDescent="0.25">
      <c r="A5208" s="4" t="str">
        <f>CONCATENATE("3071-0000-6892","")</f>
        <v>3071-0000-6892</v>
      </c>
      <c r="B5208" s="4" t="s">
        <v>4624</v>
      </c>
      <c r="C5208" s="5">
        <v>41489</v>
      </c>
      <c r="D5208" s="5">
        <v>41549</v>
      </c>
      <c r="E5208" s="4" t="s">
        <v>1410</v>
      </c>
      <c r="F5208" s="4" t="s">
        <v>1410</v>
      </c>
    </row>
    <row r="5209" spans="1:6" x14ac:dyDescent="0.25">
      <c r="A5209" s="4" t="str">
        <f>CONCATENATE("3071-0000-3289","")</f>
        <v>3071-0000-3289</v>
      </c>
      <c r="B5209" s="4" t="s">
        <v>1396</v>
      </c>
      <c r="C5209" s="5">
        <v>41489</v>
      </c>
      <c r="D5209" s="5">
        <v>41549</v>
      </c>
      <c r="E5209" s="4" t="s">
        <v>7</v>
      </c>
      <c r="F5209" s="4" t="s">
        <v>808</v>
      </c>
    </row>
    <row r="5210" spans="1:6" x14ac:dyDescent="0.25">
      <c r="A5210" s="4" t="str">
        <f>CONCATENATE("3071-0000-1233","")</f>
        <v>3071-0000-1233</v>
      </c>
      <c r="B5210" s="4" t="s">
        <v>2126</v>
      </c>
      <c r="C5210" s="5">
        <v>41489</v>
      </c>
      <c r="D5210" s="5">
        <v>41549</v>
      </c>
      <c r="E5210" s="4" t="s">
        <v>1857</v>
      </c>
      <c r="F5210" s="4" t="s">
        <v>2108</v>
      </c>
    </row>
    <row r="5211" spans="1:6" x14ac:dyDescent="0.25">
      <c r="A5211" s="4" t="str">
        <f>CONCATENATE("3071-0000-1963","")</f>
        <v>3071-0000-1963</v>
      </c>
      <c r="B5211" s="4" t="s">
        <v>3074</v>
      </c>
      <c r="C5211" s="5">
        <v>41489</v>
      </c>
      <c r="D5211" s="5">
        <v>41549</v>
      </c>
      <c r="E5211" s="4" t="s">
        <v>2944</v>
      </c>
      <c r="F5211" s="4" t="s">
        <v>2945</v>
      </c>
    </row>
    <row r="5212" spans="1:6" x14ac:dyDescent="0.25">
      <c r="A5212" s="4" t="str">
        <f>CONCATENATE("3071-0000-4158","")</f>
        <v>3071-0000-4158</v>
      </c>
      <c r="B5212" s="4" t="s">
        <v>3840</v>
      </c>
      <c r="C5212" s="5">
        <v>41489</v>
      </c>
      <c r="D5212" s="5">
        <v>41549</v>
      </c>
      <c r="E5212" s="4" t="s">
        <v>7</v>
      </c>
      <c r="F5212" s="4" t="s">
        <v>3818</v>
      </c>
    </row>
    <row r="5213" spans="1:6" x14ac:dyDescent="0.25">
      <c r="A5213" s="4" t="str">
        <f>CONCATENATE("3071-0000-0223","")</f>
        <v>3071-0000-0223</v>
      </c>
      <c r="B5213" s="4" t="s">
        <v>472</v>
      </c>
      <c r="C5213" s="5">
        <v>41489</v>
      </c>
      <c r="D5213" s="5">
        <v>41549</v>
      </c>
      <c r="E5213" s="4" t="s">
        <v>7</v>
      </c>
      <c r="F5213" s="4" t="s">
        <v>7</v>
      </c>
    </row>
    <row r="5214" spans="1:6" x14ac:dyDescent="0.25">
      <c r="A5214" s="4" t="str">
        <f>CONCATENATE("3071-0000-0886","")</f>
        <v>3071-0000-0886</v>
      </c>
      <c r="B5214" s="4" t="s">
        <v>1957</v>
      </c>
      <c r="C5214" s="5">
        <v>41489</v>
      </c>
      <c r="D5214" s="5">
        <v>41549</v>
      </c>
      <c r="E5214" s="4" t="s">
        <v>1857</v>
      </c>
      <c r="F5214" s="4" t="s">
        <v>1857</v>
      </c>
    </row>
    <row r="5215" spans="1:6" x14ac:dyDescent="0.25">
      <c r="A5215" s="4" t="str">
        <f>CONCATENATE("3071-0000-0295","")</f>
        <v>3071-0000-0295</v>
      </c>
      <c r="B5215" s="4" t="s">
        <v>507</v>
      </c>
      <c r="C5215" s="5">
        <v>41489</v>
      </c>
      <c r="D5215" s="5">
        <v>41549</v>
      </c>
      <c r="E5215" s="4" t="s">
        <v>7</v>
      </c>
      <c r="F5215" s="4" t="s">
        <v>7</v>
      </c>
    </row>
    <row r="5216" spans="1:6" x14ac:dyDescent="0.25">
      <c r="A5216" s="4" t="str">
        <f>CONCATENATE("3071-0000-1360","")</f>
        <v>3071-0000-1360</v>
      </c>
      <c r="B5216" s="4" t="s">
        <v>2510</v>
      </c>
      <c r="C5216" s="5">
        <v>41489</v>
      </c>
      <c r="D5216" s="5">
        <v>41549</v>
      </c>
      <c r="E5216" s="4" t="s">
        <v>1381</v>
      </c>
      <c r="F5216" s="4" t="s">
        <v>2303</v>
      </c>
    </row>
    <row r="5217" spans="1:6" x14ac:dyDescent="0.25">
      <c r="A5217" s="4" t="str">
        <f>CONCATENATE("3071-0000-1885","")</f>
        <v>3071-0000-1885</v>
      </c>
      <c r="B5217" s="4" t="s">
        <v>2956</v>
      </c>
      <c r="C5217" s="5">
        <v>41489</v>
      </c>
      <c r="D5217" s="5">
        <v>41549</v>
      </c>
      <c r="E5217" s="4" t="s">
        <v>2944</v>
      </c>
      <c r="F5217" s="4" t="s">
        <v>2945</v>
      </c>
    </row>
    <row r="5218" spans="1:6" x14ac:dyDescent="0.25">
      <c r="A5218" s="4" t="str">
        <f>CONCATENATE("3071-0000-0724","")</f>
        <v>3071-0000-0724</v>
      </c>
      <c r="B5218" s="4" t="s">
        <v>637</v>
      </c>
      <c r="C5218" s="5">
        <v>41489</v>
      </c>
      <c r="D5218" s="5">
        <v>41549</v>
      </c>
      <c r="E5218" s="4" t="s">
        <v>7</v>
      </c>
      <c r="F5218" s="4" t="s">
        <v>7</v>
      </c>
    </row>
    <row r="5219" spans="1:6" x14ac:dyDescent="0.25">
      <c r="A5219" s="4" t="str">
        <f>CONCATENATE("3071-0000-1628","")</f>
        <v>3071-0000-1628</v>
      </c>
      <c r="B5219" s="4" t="s">
        <v>2437</v>
      </c>
      <c r="C5219" s="5">
        <v>41489</v>
      </c>
      <c r="D5219" s="5">
        <v>41549</v>
      </c>
      <c r="E5219" s="4" t="s">
        <v>1381</v>
      </c>
      <c r="F5219" s="4" t="s">
        <v>2303</v>
      </c>
    </row>
    <row r="5220" spans="1:6" x14ac:dyDescent="0.25">
      <c r="A5220" s="4" t="str">
        <f>CONCATENATE("3071-0000-1102","")</f>
        <v>3071-0000-1102</v>
      </c>
      <c r="B5220" s="4" t="s">
        <v>1874</v>
      </c>
      <c r="C5220" s="5">
        <v>41489</v>
      </c>
      <c r="D5220" s="5">
        <v>41549</v>
      </c>
      <c r="E5220" s="4" t="s">
        <v>1857</v>
      </c>
      <c r="F5220" s="4" t="s">
        <v>1857</v>
      </c>
    </row>
    <row r="5221" spans="1:6" x14ac:dyDescent="0.25">
      <c r="A5221" s="4" t="str">
        <f>CONCATENATE("3071-0000-7838","")</f>
        <v>3071-0000-7838</v>
      </c>
      <c r="B5221" s="4" t="s">
        <v>6182</v>
      </c>
      <c r="C5221" s="5">
        <v>41489</v>
      </c>
      <c r="D5221" s="5">
        <v>41549</v>
      </c>
      <c r="E5221" s="4" t="s">
        <v>5185</v>
      </c>
      <c r="F5221" s="4" t="s">
        <v>5185</v>
      </c>
    </row>
    <row r="5222" spans="1:6" x14ac:dyDescent="0.25">
      <c r="A5222" s="4" t="str">
        <f>CONCATENATE("3071-0000-7803","")</f>
        <v>3071-0000-7803</v>
      </c>
      <c r="B5222" s="4" t="s">
        <v>5465</v>
      </c>
      <c r="C5222" s="5">
        <v>41489</v>
      </c>
      <c r="D5222" s="5">
        <v>41549</v>
      </c>
      <c r="E5222" s="4" t="s">
        <v>5185</v>
      </c>
      <c r="F5222" s="4" t="s">
        <v>5185</v>
      </c>
    </row>
    <row r="5223" spans="1:6" x14ac:dyDescent="0.25">
      <c r="A5223" s="4" t="str">
        <f>CONCATENATE("3071-0000-4925","")</f>
        <v>3071-0000-4925</v>
      </c>
      <c r="B5223" s="4" t="s">
        <v>8729</v>
      </c>
      <c r="C5223" s="5">
        <v>41489</v>
      </c>
      <c r="D5223" s="5">
        <v>41549</v>
      </c>
      <c r="E5223" s="4" t="s">
        <v>1410</v>
      </c>
      <c r="F5223" s="4" t="s">
        <v>8696</v>
      </c>
    </row>
    <row r="5224" spans="1:6" x14ac:dyDescent="0.25">
      <c r="A5224" s="4" t="str">
        <f>CONCATENATE("3071-0000-5470","")</f>
        <v>3071-0000-5470</v>
      </c>
      <c r="B5224" s="4" t="s">
        <v>6710</v>
      </c>
      <c r="C5224" s="5">
        <v>41489</v>
      </c>
      <c r="D5224" s="5">
        <v>41549</v>
      </c>
      <c r="E5224" s="4" t="s">
        <v>5185</v>
      </c>
      <c r="F5224" s="4" t="s">
        <v>5185</v>
      </c>
    </row>
    <row r="5225" spans="1:6" x14ac:dyDescent="0.25">
      <c r="A5225" s="4" t="str">
        <f>CONCATENATE("3071-0000-8389","")</f>
        <v>3071-0000-8389</v>
      </c>
      <c r="B5225" s="4" t="s">
        <v>5870</v>
      </c>
      <c r="C5225" s="5">
        <v>41489</v>
      </c>
      <c r="D5225" s="5">
        <v>41549</v>
      </c>
      <c r="E5225" s="4" t="s">
        <v>5185</v>
      </c>
      <c r="F5225" s="4" t="s">
        <v>5185</v>
      </c>
    </row>
    <row r="5226" spans="1:6" x14ac:dyDescent="0.25">
      <c r="A5226" s="4" t="str">
        <f>CONCATENATE("3071-0000-5268","")</f>
        <v>3071-0000-5268</v>
      </c>
      <c r="B5226" s="4" t="s">
        <v>6746</v>
      </c>
      <c r="C5226" s="5">
        <v>41489</v>
      </c>
      <c r="D5226" s="5">
        <v>41549</v>
      </c>
      <c r="E5226" s="4" t="s">
        <v>5185</v>
      </c>
      <c r="F5226" s="4" t="s">
        <v>5185</v>
      </c>
    </row>
    <row r="5227" spans="1:6" x14ac:dyDescent="0.25">
      <c r="A5227" s="4" t="str">
        <f>CONCATENATE("3071-0000-0914","")</f>
        <v>3071-0000-0914</v>
      </c>
      <c r="B5227" s="4" t="s">
        <v>2103</v>
      </c>
      <c r="C5227" s="5">
        <v>41489</v>
      </c>
      <c r="D5227" s="5">
        <v>41549</v>
      </c>
      <c r="E5227" s="4" t="s">
        <v>1857</v>
      </c>
      <c r="F5227" s="4" t="s">
        <v>1857</v>
      </c>
    </row>
    <row r="5228" spans="1:6" x14ac:dyDescent="0.25">
      <c r="A5228" s="4" t="str">
        <f>CONCATENATE("3071-0000-8482","")</f>
        <v>3071-0000-8482</v>
      </c>
      <c r="B5228" s="4" t="s">
        <v>6095</v>
      </c>
      <c r="C5228" s="5">
        <v>41489</v>
      </c>
      <c r="D5228" s="5">
        <v>41549</v>
      </c>
      <c r="E5228" s="4" t="s">
        <v>5185</v>
      </c>
      <c r="F5228" s="4" t="s">
        <v>5945</v>
      </c>
    </row>
    <row r="5229" spans="1:6" x14ac:dyDescent="0.25">
      <c r="A5229" s="4" t="str">
        <f>CONCATENATE("3071-0000-0056","")</f>
        <v>3071-0000-0056</v>
      </c>
      <c r="B5229" s="4" t="s">
        <v>111</v>
      </c>
      <c r="C5229" s="5">
        <v>41489</v>
      </c>
      <c r="D5229" s="5">
        <v>41549</v>
      </c>
      <c r="E5229" s="4" t="s">
        <v>7</v>
      </c>
      <c r="F5229" s="4" t="s">
        <v>7</v>
      </c>
    </row>
    <row r="5230" spans="1:6" x14ac:dyDescent="0.25">
      <c r="A5230" s="4" t="str">
        <f>CONCATENATE("3071-0000-7408","")</f>
        <v>3071-0000-7408</v>
      </c>
      <c r="B5230" s="4" t="s">
        <v>4480</v>
      </c>
      <c r="C5230" s="5">
        <v>41489</v>
      </c>
      <c r="D5230" s="5">
        <v>41549</v>
      </c>
      <c r="E5230" s="4" t="s">
        <v>1410</v>
      </c>
      <c r="F5230" s="4" t="s">
        <v>1410</v>
      </c>
    </row>
    <row r="5231" spans="1:6" x14ac:dyDescent="0.25">
      <c r="A5231" s="4" t="str">
        <f>CONCATENATE("3071-0000-7897","")</f>
        <v>3071-0000-7897</v>
      </c>
      <c r="B5231" s="4" t="s">
        <v>5499</v>
      </c>
      <c r="C5231" s="5">
        <v>41489</v>
      </c>
      <c r="D5231" s="5">
        <v>41549</v>
      </c>
      <c r="E5231" s="4" t="s">
        <v>5185</v>
      </c>
      <c r="F5231" s="4" t="s">
        <v>5185</v>
      </c>
    </row>
    <row r="5232" spans="1:6" x14ac:dyDescent="0.25">
      <c r="A5232" s="4" t="str">
        <f>CONCATENATE("3071-0000-0966","")</f>
        <v>3071-0000-0966</v>
      </c>
      <c r="B5232" s="4" t="s">
        <v>2080</v>
      </c>
      <c r="C5232" s="5">
        <v>41489</v>
      </c>
      <c r="D5232" s="5">
        <v>41549</v>
      </c>
      <c r="E5232" s="4" t="s">
        <v>1857</v>
      </c>
      <c r="F5232" s="4" t="s">
        <v>1857</v>
      </c>
    </row>
    <row r="5233" spans="1:6" x14ac:dyDescent="0.25">
      <c r="A5233" s="4" t="str">
        <f>CONCATENATE("3071-0000-1016","")</f>
        <v>3071-0000-1016</v>
      </c>
      <c r="B5233" s="4" t="s">
        <v>2069</v>
      </c>
      <c r="C5233" s="5">
        <v>41489</v>
      </c>
      <c r="D5233" s="5">
        <v>41549</v>
      </c>
      <c r="E5233" s="4" t="s">
        <v>1857</v>
      </c>
      <c r="F5233" s="4" t="s">
        <v>1857</v>
      </c>
    </row>
    <row r="5234" spans="1:6" x14ac:dyDescent="0.25">
      <c r="A5234" s="4" t="str">
        <f>CONCATENATE("3071-0000-5543","")</f>
        <v>3071-0000-5543</v>
      </c>
      <c r="B5234" s="4" t="s">
        <v>7361</v>
      </c>
      <c r="C5234" s="5">
        <v>41489</v>
      </c>
      <c r="D5234" s="5">
        <v>41549</v>
      </c>
      <c r="E5234" s="4" t="s">
        <v>5185</v>
      </c>
      <c r="F5234" s="4" t="s">
        <v>5185</v>
      </c>
    </row>
    <row r="5235" spans="1:6" x14ac:dyDescent="0.25">
      <c r="A5235" s="4" t="str">
        <f>CONCATENATE("3071-0000-5838","")</f>
        <v>3071-0000-5838</v>
      </c>
      <c r="B5235" s="4" t="s">
        <v>7324</v>
      </c>
      <c r="C5235" s="5">
        <v>41489</v>
      </c>
      <c r="D5235" s="5">
        <v>41549</v>
      </c>
      <c r="E5235" s="4" t="s">
        <v>5185</v>
      </c>
      <c r="F5235" s="4" t="s">
        <v>5185</v>
      </c>
    </row>
    <row r="5236" spans="1:6" x14ac:dyDescent="0.25">
      <c r="A5236" s="4" t="str">
        <f>CONCATENATE("3071-0000-5832","")</f>
        <v>3071-0000-5832</v>
      </c>
      <c r="B5236" s="4" t="s">
        <v>7336</v>
      </c>
      <c r="C5236" s="5">
        <v>41489</v>
      </c>
      <c r="D5236" s="5">
        <v>41549</v>
      </c>
      <c r="E5236" s="4" t="s">
        <v>5185</v>
      </c>
      <c r="F5236" s="4" t="s">
        <v>5185</v>
      </c>
    </row>
    <row r="5237" spans="1:6" x14ac:dyDescent="0.25">
      <c r="A5237" s="4" t="str">
        <f>CONCATENATE("3071-0000-6551","")</f>
        <v>3071-0000-6551</v>
      </c>
      <c r="B5237" s="4" t="s">
        <v>7799</v>
      </c>
      <c r="C5237" s="5">
        <v>41489</v>
      </c>
      <c r="D5237" s="5">
        <v>41549</v>
      </c>
      <c r="E5237" s="4" t="s">
        <v>5185</v>
      </c>
      <c r="F5237" s="4" t="s">
        <v>5185</v>
      </c>
    </row>
    <row r="5238" spans="1:6" x14ac:dyDescent="0.25">
      <c r="A5238" s="4" t="str">
        <f>CONCATENATE("3071-0000-4163","")</f>
        <v>3071-0000-4163</v>
      </c>
      <c r="B5238" s="4" t="s">
        <v>4006</v>
      </c>
      <c r="C5238" s="5">
        <v>41489</v>
      </c>
      <c r="D5238" s="5">
        <v>41549</v>
      </c>
      <c r="E5238" s="4" t="s">
        <v>1381</v>
      </c>
      <c r="F5238" s="4" t="s">
        <v>3994</v>
      </c>
    </row>
    <row r="5239" spans="1:6" x14ac:dyDescent="0.25">
      <c r="A5239" s="4" t="str">
        <f>CONCATENATE("3071-0000-6358","")</f>
        <v>3071-0000-6358</v>
      </c>
      <c r="B5239" s="4" t="s">
        <v>7887</v>
      </c>
      <c r="C5239" s="5">
        <v>41489</v>
      </c>
      <c r="D5239" s="5">
        <v>41549</v>
      </c>
      <c r="E5239" s="4" t="s">
        <v>5185</v>
      </c>
      <c r="F5239" s="4" t="s">
        <v>5185</v>
      </c>
    </row>
    <row r="5240" spans="1:6" x14ac:dyDescent="0.25">
      <c r="A5240" s="4" t="str">
        <f>CONCATENATE("3071-0000-5592","")</f>
        <v>3071-0000-5592</v>
      </c>
      <c r="B5240" s="4" t="s">
        <v>7329</v>
      </c>
      <c r="C5240" s="5">
        <v>41489</v>
      </c>
      <c r="D5240" s="5">
        <v>41549</v>
      </c>
      <c r="E5240" s="4" t="s">
        <v>5185</v>
      </c>
      <c r="F5240" s="4" t="s">
        <v>5185</v>
      </c>
    </row>
    <row r="5241" spans="1:6" x14ac:dyDescent="0.25">
      <c r="A5241" s="4" t="str">
        <f>CONCATENATE("3071-0000-5850","")</f>
        <v>3071-0000-5850</v>
      </c>
      <c r="B5241" s="4" t="s">
        <v>7392</v>
      </c>
      <c r="C5241" s="5">
        <v>41489</v>
      </c>
      <c r="D5241" s="5">
        <v>41549</v>
      </c>
      <c r="E5241" s="4" t="s">
        <v>5185</v>
      </c>
      <c r="F5241" s="4" t="s">
        <v>5185</v>
      </c>
    </row>
    <row r="5242" spans="1:6" x14ac:dyDescent="0.25">
      <c r="A5242" s="4" t="str">
        <f>CONCATENATE("3071-0000-6375","")</f>
        <v>3071-0000-6375</v>
      </c>
      <c r="B5242" s="4" t="s">
        <v>7906</v>
      </c>
      <c r="C5242" s="5">
        <v>41489</v>
      </c>
      <c r="D5242" s="5">
        <v>41549</v>
      </c>
      <c r="E5242" s="4" t="s">
        <v>5185</v>
      </c>
      <c r="F5242" s="4" t="s">
        <v>5185</v>
      </c>
    </row>
    <row r="5243" spans="1:6" x14ac:dyDescent="0.25">
      <c r="A5243" s="4" t="str">
        <f>CONCATENATE("3071-0000-0919","")</f>
        <v>3071-0000-0919</v>
      </c>
      <c r="B5243" s="4" t="s">
        <v>2128</v>
      </c>
      <c r="C5243" s="5">
        <v>41489</v>
      </c>
      <c r="D5243" s="5">
        <v>41549</v>
      </c>
      <c r="E5243" s="4" t="s">
        <v>1857</v>
      </c>
      <c r="F5243" s="4" t="s">
        <v>1857</v>
      </c>
    </row>
    <row r="5244" spans="1:6" x14ac:dyDescent="0.25">
      <c r="A5244" s="4" t="str">
        <f>CONCATENATE("3071-0000-7766","")</f>
        <v>3071-0000-7766</v>
      </c>
      <c r="B5244" s="4" t="s">
        <v>4583</v>
      </c>
      <c r="C5244" s="5">
        <v>41489</v>
      </c>
      <c r="D5244" s="5">
        <v>41549</v>
      </c>
      <c r="E5244" s="4" t="s">
        <v>1410</v>
      </c>
      <c r="F5244" s="4" t="s">
        <v>1410</v>
      </c>
    </row>
    <row r="5245" spans="1:6" x14ac:dyDescent="0.25">
      <c r="A5245" s="4" t="str">
        <f>CONCATENATE("3071-0000-1852","")</f>
        <v>3071-0000-1852</v>
      </c>
      <c r="B5245" s="4" t="s">
        <v>2577</v>
      </c>
      <c r="C5245" s="5">
        <v>41489</v>
      </c>
      <c r="D5245" s="5">
        <v>41549</v>
      </c>
      <c r="E5245" s="4" t="s">
        <v>1381</v>
      </c>
      <c r="F5245" s="4" t="s">
        <v>2303</v>
      </c>
    </row>
    <row r="5246" spans="1:6" x14ac:dyDescent="0.25">
      <c r="A5246" s="4" t="str">
        <f>CONCATENATE("3071-0000-0068","")</f>
        <v>3071-0000-0068</v>
      </c>
      <c r="B5246" s="4" t="s">
        <v>135</v>
      </c>
      <c r="C5246" s="5">
        <v>41489</v>
      </c>
      <c r="D5246" s="5">
        <v>41549</v>
      </c>
      <c r="E5246" s="4" t="s">
        <v>7</v>
      </c>
      <c r="F5246" s="4" t="s">
        <v>7</v>
      </c>
    </row>
    <row r="5247" spans="1:6" x14ac:dyDescent="0.25">
      <c r="A5247" s="4" t="str">
        <f>CONCATENATE("3071-0000-1753","")</f>
        <v>3071-0000-1753</v>
      </c>
      <c r="B5247" s="4" t="s">
        <v>2473</v>
      </c>
      <c r="C5247" s="5">
        <v>41489</v>
      </c>
      <c r="D5247" s="5">
        <v>41549</v>
      </c>
      <c r="E5247" s="4" t="s">
        <v>1381</v>
      </c>
      <c r="F5247" s="4" t="s">
        <v>2303</v>
      </c>
    </row>
    <row r="5248" spans="1:6" x14ac:dyDescent="0.25">
      <c r="A5248" s="4" t="str">
        <f>CONCATENATE("3071-0000-4578","")</f>
        <v>3071-0000-4578</v>
      </c>
      <c r="B5248" s="4" t="s">
        <v>9599</v>
      </c>
      <c r="C5248" s="5">
        <v>41489</v>
      </c>
      <c r="D5248" s="5">
        <v>41549</v>
      </c>
      <c r="E5248" s="4" t="s">
        <v>1410</v>
      </c>
      <c r="F5248" s="4" t="s">
        <v>8696</v>
      </c>
    </row>
    <row r="5249" spans="1:6" x14ac:dyDescent="0.25">
      <c r="A5249" s="4" t="str">
        <f>CONCATENATE("3071-0000-1601","")</f>
        <v>3071-0000-1601</v>
      </c>
      <c r="B5249" s="4" t="s">
        <v>2543</v>
      </c>
      <c r="C5249" s="5">
        <v>41489</v>
      </c>
      <c r="D5249" s="5">
        <v>41549</v>
      </c>
      <c r="E5249" s="4" t="s">
        <v>1381</v>
      </c>
      <c r="F5249" s="4" t="s">
        <v>2303</v>
      </c>
    </row>
    <row r="5250" spans="1:6" x14ac:dyDescent="0.25">
      <c r="A5250" s="4" t="str">
        <f>CONCATENATE("3071-0000-1673","")</f>
        <v>3071-0000-1673</v>
      </c>
      <c r="B5250" s="4" t="s">
        <v>2596</v>
      </c>
      <c r="C5250" s="5">
        <v>41489</v>
      </c>
      <c r="D5250" s="5">
        <v>41549</v>
      </c>
      <c r="E5250" s="4" t="s">
        <v>1381</v>
      </c>
      <c r="F5250" s="4" t="s">
        <v>2303</v>
      </c>
    </row>
    <row r="5251" spans="1:6" x14ac:dyDescent="0.25">
      <c r="A5251" s="4" t="str">
        <f>CONCATENATE("3071-0000-7420","")</f>
        <v>3071-0000-7420</v>
      </c>
      <c r="B5251" s="4" t="s">
        <v>4893</v>
      </c>
      <c r="C5251" s="5">
        <v>41489</v>
      </c>
      <c r="D5251" s="5">
        <v>41549</v>
      </c>
      <c r="E5251" s="4" t="s">
        <v>1410</v>
      </c>
      <c r="F5251" s="4" t="s">
        <v>1410</v>
      </c>
    </row>
    <row r="5252" spans="1:6" x14ac:dyDescent="0.25">
      <c r="A5252" s="4" t="str">
        <f>CONCATENATE("3071-0000-6209","")</f>
        <v>3071-0000-6209</v>
      </c>
      <c r="B5252" s="4" t="s">
        <v>7213</v>
      </c>
      <c r="C5252" s="5">
        <v>41489</v>
      </c>
      <c r="D5252" s="5">
        <v>41549</v>
      </c>
      <c r="E5252" s="4" t="s">
        <v>7069</v>
      </c>
      <c r="F5252" s="4" t="s">
        <v>7183</v>
      </c>
    </row>
    <row r="5253" spans="1:6" x14ac:dyDescent="0.25">
      <c r="A5253" s="4" t="str">
        <f>CONCATENATE("3071-0000-4072","")</f>
        <v>3071-0000-4072</v>
      </c>
      <c r="B5253" s="4" t="s">
        <v>3978</v>
      </c>
      <c r="C5253" s="5">
        <v>41489</v>
      </c>
      <c r="D5253" s="5">
        <v>41549</v>
      </c>
      <c r="E5253" s="4" t="s">
        <v>7</v>
      </c>
      <c r="F5253" s="4" t="s">
        <v>1419</v>
      </c>
    </row>
    <row r="5254" spans="1:6" x14ac:dyDescent="0.25">
      <c r="A5254" s="4" t="str">
        <f>CONCATENATE("3071-0000-4045","")</f>
        <v>3071-0000-4045</v>
      </c>
      <c r="B5254" s="4" t="s">
        <v>3982</v>
      </c>
      <c r="C5254" s="5">
        <v>41489</v>
      </c>
      <c r="D5254" s="5">
        <v>41549</v>
      </c>
      <c r="E5254" s="4" t="s">
        <v>7</v>
      </c>
      <c r="F5254" s="4" t="s">
        <v>1419</v>
      </c>
    </row>
    <row r="5255" spans="1:6" x14ac:dyDescent="0.25">
      <c r="A5255" s="4" t="str">
        <f>CONCATENATE("3071-0000-5856","")</f>
        <v>3071-0000-5856</v>
      </c>
      <c r="B5255" s="4" t="s">
        <v>7311</v>
      </c>
      <c r="C5255" s="5">
        <v>41489</v>
      </c>
      <c r="D5255" s="5">
        <v>41549</v>
      </c>
      <c r="E5255" s="4" t="s">
        <v>5185</v>
      </c>
      <c r="F5255" s="4" t="s">
        <v>5185</v>
      </c>
    </row>
    <row r="5256" spans="1:6" x14ac:dyDescent="0.25">
      <c r="A5256" s="4" t="str">
        <f>CONCATENATE("3071-0000-1851","")</f>
        <v>3071-0000-1851</v>
      </c>
      <c r="B5256" s="4" t="s">
        <v>2420</v>
      </c>
      <c r="C5256" s="5">
        <v>41489</v>
      </c>
      <c r="D5256" s="5">
        <v>41549</v>
      </c>
      <c r="E5256" s="4" t="s">
        <v>1381</v>
      </c>
      <c r="F5256" s="4" t="s">
        <v>2303</v>
      </c>
    </row>
    <row r="5257" spans="1:6" x14ac:dyDescent="0.25">
      <c r="A5257" s="4" t="str">
        <f>CONCATENATE("3071-0000-3361","")</f>
        <v>3071-0000-3361</v>
      </c>
      <c r="B5257" s="4" t="s">
        <v>1495</v>
      </c>
      <c r="C5257" s="5">
        <v>41489</v>
      </c>
      <c r="D5257" s="5">
        <v>41549</v>
      </c>
      <c r="E5257" s="4" t="s">
        <v>1410</v>
      </c>
      <c r="F5257" s="4" t="s">
        <v>1411</v>
      </c>
    </row>
    <row r="5258" spans="1:6" x14ac:dyDescent="0.25">
      <c r="A5258" s="4" t="str">
        <f>CONCATENATE("3071-0000-1931","")</f>
        <v>3071-0000-1931</v>
      </c>
      <c r="B5258" s="4" t="s">
        <v>3035</v>
      </c>
      <c r="C5258" s="5">
        <v>41489</v>
      </c>
      <c r="D5258" s="5">
        <v>41549</v>
      </c>
      <c r="E5258" s="4" t="s">
        <v>2944</v>
      </c>
      <c r="F5258" s="4" t="s">
        <v>2945</v>
      </c>
    </row>
    <row r="5259" spans="1:6" x14ac:dyDescent="0.25">
      <c r="A5259" s="4" t="str">
        <f>CONCATENATE("3071-0000-0217","")</f>
        <v>3071-0000-0217</v>
      </c>
      <c r="B5259" s="4" t="s">
        <v>465</v>
      </c>
      <c r="C5259" s="5">
        <v>41489</v>
      </c>
      <c r="D5259" s="5">
        <v>41549</v>
      </c>
      <c r="E5259" s="4" t="s">
        <v>7</v>
      </c>
      <c r="F5259" s="4" t="s">
        <v>7</v>
      </c>
    </row>
    <row r="5260" spans="1:6" x14ac:dyDescent="0.25">
      <c r="A5260" s="4" t="str">
        <f>CONCATENATE("3071-0000-7861","")</f>
        <v>3071-0000-7861</v>
      </c>
      <c r="B5260" s="4" t="s">
        <v>6326</v>
      </c>
      <c r="C5260" s="5">
        <v>41489</v>
      </c>
      <c r="D5260" s="5">
        <v>41549</v>
      </c>
      <c r="E5260" s="4" t="s">
        <v>5185</v>
      </c>
      <c r="F5260" s="4" t="s">
        <v>5185</v>
      </c>
    </row>
    <row r="5261" spans="1:6" x14ac:dyDescent="0.25">
      <c r="A5261" s="4" t="str">
        <f>CONCATENATE("3071-0000-7118","")</f>
        <v>3071-0000-7118</v>
      </c>
      <c r="B5261" s="4" t="s">
        <v>4798</v>
      </c>
      <c r="C5261" s="5">
        <v>41489</v>
      </c>
      <c r="D5261" s="5">
        <v>41549</v>
      </c>
      <c r="E5261" s="4" t="s">
        <v>1410</v>
      </c>
      <c r="F5261" s="4" t="s">
        <v>1410</v>
      </c>
    </row>
    <row r="5262" spans="1:6" x14ac:dyDescent="0.25">
      <c r="A5262" s="4" t="str">
        <f>CONCATENATE("3071-0000-7307","")</f>
        <v>3071-0000-7307</v>
      </c>
      <c r="B5262" s="4" t="s">
        <v>4635</v>
      </c>
      <c r="C5262" s="5">
        <v>41489</v>
      </c>
      <c r="D5262" s="5">
        <v>41549</v>
      </c>
      <c r="E5262" s="4" t="s">
        <v>1410</v>
      </c>
      <c r="F5262" s="4" t="s">
        <v>1410</v>
      </c>
    </row>
    <row r="5263" spans="1:6" x14ac:dyDescent="0.25">
      <c r="A5263" s="4" t="str">
        <f>CONCATENATE("3071-0000-8422","")</f>
        <v>3071-0000-8422</v>
      </c>
      <c r="B5263" s="4" t="s">
        <v>6252</v>
      </c>
      <c r="C5263" s="5">
        <v>41489</v>
      </c>
      <c r="D5263" s="5">
        <v>41549</v>
      </c>
      <c r="E5263" s="4" t="s">
        <v>5185</v>
      </c>
      <c r="F5263" s="4" t="s">
        <v>5185</v>
      </c>
    </row>
    <row r="5264" spans="1:6" x14ac:dyDescent="0.25">
      <c r="A5264" s="4" t="str">
        <f>CONCATENATE("3071-0000-5399","")</f>
        <v>3071-0000-5399</v>
      </c>
      <c r="B5264" s="4" t="s">
        <v>6629</v>
      </c>
      <c r="C5264" s="5">
        <v>41489</v>
      </c>
      <c r="D5264" s="5">
        <v>41549</v>
      </c>
      <c r="E5264" s="4" t="s">
        <v>5185</v>
      </c>
      <c r="F5264" s="4" t="s">
        <v>5185</v>
      </c>
    </row>
    <row r="5265" spans="1:6" x14ac:dyDescent="0.25">
      <c r="A5265" s="4" t="str">
        <f>CONCATENATE("3071-0000-5515","")</f>
        <v>3071-0000-5515</v>
      </c>
      <c r="B5265" s="4" t="s">
        <v>6728</v>
      </c>
      <c r="C5265" s="5">
        <v>41489</v>
      </c>
      <c r="D5265" s="5">
        <v>41549</v>
      </c>
      <c r="E5265" s="4" t="s">
        <v>1410</v>
      </c>
      <c r="F5265" s="4" t="s">
        <v>6635</v>
      </c>
    </row>
    <row r="5266" spans="1:6" x14ac:dyDescent="0.25">
      <c r="A5266" s="4" t="str">
        <f>CONCATENATE("3071-0000-7183","")</f>
        <v>3071-0000-7183</v>
      </c>
      <c r="B5266" s="4" t="s">
        <v>4951</v>
      </c>
      <c r="C5266" s="5">
        <v>41489</v>
      </c>
      <c r="D5266" s="5">
        <v>41549</v>
      </c>
      <c r="E5266" s="4" t="s">
        <v>1410</v>
      </c>
      <c r="F5266" s="4" t="s">
        <v>1410</v>
      </c>
    </row>
    <row r="5267" spans="1:6" x14ac:dyDescent="0.25">
      <c r="A5267" s="4" t="str">
        <f>CONCATENATE("3071-0000-7472","")</f>
        <v>3071-0000-7472</v>
      </c>
      <c r="B5267" s="4" t="s">
        <v>4821</v>
      </c>
      <c r="C5267" s="5">
        <v>41489</v>
      </c>
      <c r="D5267" s="5">
        <v>41549</v>
      </c>
      <c r="E5267" s="4" t="s">
        <v>1410</v>
      </c>
      <c r="F5267" s="4" t="s">
        <v>4655</v>
      </c>
    </row>
    <row r="5268" spans="1:6" x14ac:dyDescent="0.25">
      <c r="A5268" s="4" t="str">
        <f>CONCATENATE("3071-0000-8300","")</f>
        <v>3071-0000-8300</v>
      </c>
      <c r="B5268" s="4" t="s">
        <v>6240</v>
      </c>
      <c r="C5268" s="5">
        <v>41489</v>
      </c>
      <c r="D5268" s="5">
        <v>41549</v>
      </c>
      <c r="E5268" s="4" t="s">
        <v>5185</v>
      </c>
      <c r="F5268" s="4" t="s">
        <v>5185</v>
      </c>
    </row>
    <row r="5269" spans="1:6" x14ac:dyDescent="0.25">
      <c r="A5269" s="4" t="str">
        <f>CONCATENATE("3071-0000-2957","")</f>
        <v>3071-0000-2957</v>
      </c>
      <c r="B5269" s="4" t="s">
        <v>1366</v>
      </c>
      <c r="C5269" s="5">
        <v>41489</v>
      </c>
      <c r="D5269" s="5">
        <v>41549</v>
      </c>
      <c r="E5269" s="4" t="s">
        <v>7</v>
      </c>
      <c r="F5269" s="4" t="s">
        <v>808</v>
      </c>
    </row>
    <row r="5270" spans="1:6" x14ac:dyDescent="0.25">
      <c r="A5270" s="4" t="str">
        <f>CONCATENATE("3071-0000-6060","")</f>
        <v>3071-0000-6060</v>
      </c>
      <c r="B5270" s="4" t="s">
        <v>6950</v>
      </c>
      <c r="C5270" s="5">
        <v>41489</v>
      </c>
      <c r="D5270" s="5">
        <v>41549</v>
      </c>
      <c r="E5270" s="4" t="s">
        <v>1410</v>
      </c>
      <c r="F5270" s="4" t="s">
        <v>4616</v>
      </c>
    </row>
    <row r="5271" spans="1:6" x14ac:dyDescent="0.25">
      <c r="A5271" s="4" t="str">
        <f>CONCATENATE("3071-0000-8283","")</f>
        <v>3071-0000-8283</v>
      </c>
      <c r="B5271" s="4" t="s">
        <v>6220</v>
      </c>
      <c r="C5271" s="5">
        <v>41489</v>
      </c>
      <c r="D5271" s="5">
        <v>41549</v>
      </c>
      <c r="E5271" s="4" t="s">
        <v>5185</v>
      </c>
      <c r="F5271" s="4" t="s">
        <v>5185</v>
      </c>
    </row>
    <row r="5272" spans="1:6" x14ac:dyDescent="0.25">
      <c r="A5272" s="4" t="str">
        <f>CONCATENATE("3071-0000-8285","")</f>
        <v>3071-0000-8285</v>
      </c>
      <c r="B5272" s="4" t="s">
        <v>6223</v>
      </c>
      <c r="C5272" s="5">
        <v>41489</v>
      </c>
      <c r="D5272" s="5">
        <v>41549</v>
      </c>
      <c r="E5272" s="4" t="s">
        <v>5185</v>
      </c>
      <c r="F5272" s="4" t="s">
        <v>5185</v>
      </c>
    </row>
    <row r="5273" spans="1:6" x14ac:dyDescent="0.25">
      <c r="A5273" s="4" t="str">
        <f>CONCATENATE("3071-0000-1839","")</f>
        <v>3071-0000-1839</v>
      </c>
      <c r="B5273" s="4" t="s">
        <v>2464</v>
      </c>
      <c r="C5273" s="5">
        <v>41489</v>
      </c>
      <c r="D5273" s="5">
        <v>41549</v>
      </c>
      <c r="E5273" s="4" t="s">
        <v>1381</v>
      </c>
      <c r="F5273" s="4" t="s">
        <v>2303</v>
      </c>
    </row>
    <row r="5274" spans="1:6" x14ac:dyDescent="0.25">
      <c r="A5274" s="4" t="str">
        <f>CONCATENATE("3071-0000-0629","")</f>
        <v>3071-0000-0629</v>
      </c>
      <c r="B5274" s="4" t="s">
        <v>287</v>
      </c>
      <c r="C5274" s="5">
        <v>41489</v>
      </c>
      <c r="D5274" s="5">
        <v>41549</v>
      </c>
      <c r="E5274" s="4" t="s">
        <v>7</v>
      </c>
      <c r="F5274" s="4" t="s">
        <v>273</v>
      </c>
    </row>
    <row r="5275" spans="1:6" x14ac:dyDescent="0.25">
      <c r="A5275" s="4" t="str">
        <f>CONCATENATE("3071-0000-0761","")</f>
        <v>3071-0000-0761</v>
      </c>
      <c r="B5275" s="4" t="s">
        <v>286</v>
      </c>
      <c r="C5275" s="5">
        <v>41489</v>
      </c>
      <c r="D5275" s="5">
        <v>41549</v>
      </c>
      <c r="E5275" s="4" t="s">
        <v>7</v>
      </c>
      <c r="F5275" s="4" t="s">
        <v>273</v>
      </c>
    </row>
    <row r="5276" spans="1:6" x14ac:dyDescent="0.25">
      <c r="A5276" s="4" t="str">
        <f>CONCATENATE("3071-0000-0635","")</f>
        <v>3071-0000-0635</v>
      </c>
      <c r="B5276" s="4" t="s">
        <v>282</v>
      </c>
      <c r="C5276" s="5">
        <v>41489</v>
      </c>
      <c r="D5276" s="5">
        <v>41549</v>
      </c>
      <c r="E5276" s="4" t="s">
        <v>7</v>
      </c>
      <c r="F5276" s="4" t="s">
        <v>273</v>
      </c>
    </row>
    <row r="5277" spans="1:6" x14ac:dyDescent="0.25">
      <c r="A5277" s="4" t="str">
        <f>CONCATENATE("3071-0000-0024","")</f>
        <v>3071-0000-0024</v>
      </c>
      <c r="B5277" s="4" t="s">
        <v>41</v>
      </c>
      <c r="C5277" s="5">
        <v>41489</v>
      </c>
      <c r="D5277" s="5">
        <v>41549</v>
      </c>
      <c r="E5277" s="4" t="s">
        <v>7</v>
      </c>
      <c r="F5277" s="4" t="s">
        <v>7</v>
      </c>
    </row>
    <row r="5278" spans="1:6" x14ac:dyDescent="0.25">
      <c r="A5278" s="4" t="str">
        <f>CONCATENATE("3071-0000-7537","")</f>
        <v>3071-0000-7537</v>
      </c>
      <c r="B5278" s="4" t="s">
        <v>5095</v>
      </c>
      <c r="C5278" s="5">
        <v>41489</v>
      </c>
      <c r="D5278" s="5">
        <v>41549</v>
      </c>
      <c r="E5278" s="4" t="s">
        <v>1410</v>
      </c>
      <c r="F5278" s="4" t="s">
        <v>4616</v>
      </c>
    </row>
    <row r="5279" spans="1:6" x14ac:dyDescent="0.25">
      <c r="A5279" s="4" t="str">
        <f>CONCATENATE("3071-0000-2447","")</f>
        <v>3071-0000-2447</v>
      </c>
      <c r="B5279" s="4" t="s">
        <v>2973</v>
      </c>
      <c r="C5279" s="5">
        <v>41489</v>
      </c>
      <c r="D5279" s="5">
        <v>41549</v>
      </c>
      <c r="E5279" s="4" t="s">
        <v>2944</v>
      </c>
      <c r="F5279" s="4" t="s">
        <v>2949</v>
      </c>
    </row>
    <row r="5280" spans="1:6" x14ac:dyDescent="0.25">
      <c r="A5280" s="4" t="str">
        <f>CONCATENATE("3071-0000-5275","")</f>
        <v>3071-0000-5275</v>
      </c>
      <c r="B5280" s="4" t="s">
        <v>6776</v>
      </c>
      <c r="C5280" s="5">
        <v>41489</v>
      </c>
      <c r="D5280" s="5">
        <v>41549</v>
      </c>
      <c r="E5280" s="4" t="s">
        <v>5185</v>
      </c>
      <c r="F5280" s="4" t="s">
        <v>5185</v>
      </c>
    </row>
    <row r="5281" spans="1:6" x14ac:dyDescent="0.25">
      <c r="A5281" s="4" t="str">
        <f>CONCATENATE("3071-0000-5891","")</f>
        <v>3071-0000-5891</v>
      </c>
      <c r="B5281" s="4" t="s">
        <v>7579</v>
      </c>
      <c r="C5281" s="5">
        <v>41489</v>
      </c>
      <c r="D5281" s="5">
        <v>41549</v>
      </c>
      <c r="E5281" s="4" t="s">
        <v>5185</v>
      </c>
      <c r="F5281" s="4" t="s">
        <v>5185</v>
      </c>
    </row>
    <row r="5282" spans="1:6" x14ac:dyDescent="0.25">
      <c r="A5282" s="4" t="str">
        <f>CONCATENATE("3071-0000-5378","")</f>
        <v>3071-0000-5378</v>
      </c>
      <c r="B5282" s="4" t="s">
        <v>6888</v>
      </c>
      <c r="C5282" s="5">
        <v>41489</v>
      </c>
      <c r="D5282" s="5">
        <v>41549</v>
      </c>
      <c r="E5282" s="4" t="s">
        <v>5185</v>
      </c>
      <c r="F5282" s="4" t="s">
        <v>5185</v>
      </c>
    </row>
    <row r="5283" spans="1:6" x14ac:dyDescent="0.25">
      <c r="A5283" s="4" t="str">
        <f>CONCATENATE("3071-0000-7229","")</f>
        <v>3071-0000-7229</v>
      </c>
      <c r="B5283" s="4" t="s">
        <v>4983</v>
      </c>
      <c r="C5283" s="5">
        <v>41489</v>
      </c>
      <c r="D5283" s="5">
        <v>41549</v>
      </c>
      <c r="E5283" s="4" t="s">
        <v>1410</v>
      </c>
      <c r="F5283" s="4" t="s">
        <v>1410</v>
      </c>
    </row>
    <row r="5284" spans="1:6" x14ac:dyDescent="0.25">
      <c r="A5284" s="4" t="str">
        <f>CONCATENATE("3071-0000-4600","")</f>
        <v>3071-0000-4600</v>
      </c>
      <c r="B5284" s="4" t="s">
        <v>9115</v>
      </c>
      <c r="C5284" s="5">
        <v>41489</v>
      </c>
      <c r="D5284" s="5">
        <v>41549</v>
      </c>
      <c r="E5284" s="4" t="s">
        <v>1410</v>
      </c>
      <c r="F5284" s="4" t="s">
        <v>8696</v>
      </c>
    </row>
    <row r="5285" spans="1:6" x14ac:dyDescent="0.25">
      <c r="A5285" s="4" t="str">
        <f>CONCATENATE("3071-0000-1807","")</f>
        <v>3071-0000-1807</v>
      </c>
      <c r="B5285" s="4" t="s">
        <v>2875</v>
      </c>
      <c r="C5285" s="5">
        <v>41489</v>
      </c>
      <c r="D5285" s="5">
        <v>41549</v>
      </c>
      <c r="E5285" s="4" t="s">
        <v>1381</v>
      </c>
      <c r="F5285" s="4" t="s">
        <v>2840</v>
      </c>
    </row>
    <row r="5286" spans="1:6" x14ac:dyDescent="0.25">
      <c r="A5286" s="4" t="str">
        <f>CONCATENATE("3071-0000-5361","")</f>
        <v>3071-0000-5361</v>
      </c>
      <c r="B5286" s="4" t="s">
        <v>6863</v>
      </c>
      <c r="C5286" s="5">
        <v>41489</v>
      </c>
      <c r="D5286" s="5">
        <v>41549</v>
      </c>
      <c r="E5286" s="4" t="s">
        <v>5185</v>
      </c>
      <c r="F5286" s="4" t="s">
        <v>5185</v>
      </c>
    </row>
    <row r="5287" spans="1:6" x14ac:dyDescent="0.25">
      <c r="A5287" s="4" t="str">
        <f>CONCATENATE("3071-0000-5360","")</f>
        <v>3071-0000-5360</v>
      </c>
      <c r="B5287" s="4" t="s">
        <v>6862</v>
      </c>
      <c r="C5287" s="5">
        <v>41489</v>
      </c>
      <c r="D5287" s="5">
        <v>41549</v>
      </c>
      <c r="E5287" s="4" t="s">
        <v>5185</v>
      </c>
      <c r="F5287" s="4" t="s">
        <v>6837</v>
      </c>
    </row>
    <row r="5288" spans="1:6" x14ac:dyDescent="0.25">
      <c r="A5288" s="4" t="str">
        <f>CONCATENATE("3071-0000-4982","")</f>
        <v>3071-0000-4982</v>
      </c>
      <c r="B5288" s="4" t="s">
        <v>9468</v>
      </c>
      <c r="C5288" s="5">
        <v>41489</v>
      </c>
      <c r="D5288" s="5">
        <v>41549</v>
      </c>
      <c r="E5288" s="4" t="s">
        <v>7069</v>
      </c>
      <c r="F5288" s="4" t="s">
        <v>9210</v>
      </c>
    </row>
    <row r="5289" spans="1:6" x14ac:dyDescent="0.25">
      <c r="A5289" s="4" t="str">
        <f>CONCATENATE("3071-0000-8877","")</f>
        <v>3071-0000-8877</v>
      </c>
      <c r="B5289" s="4" t="s">
        <v>5931</v>
      </c>
      <c r="C5289" s="5">
        <v>41489</v>
      </c>
      <c r="D5289" s="5">
        <v>41549</v>
      </c>
      <c r="E5289" s="4" t="s">
        <v>5185</v>
      </c>
      <c r="F5289" s="4" t="s">
        <v>4188</v>
      </c>
    </row>
    <row r="5290" spans="1:6" x14ac:dyDescent="0.25">
      <c r="A5290" s="4" t="str">
        <f>CONCATENATE("3071-0000-0481","")</f>
        <v>3071-0000-0481</v>
      </c>
      <c r="B5290" s="4" t="s">
        <v>701</v>
      </c>
      <c r="C5290" s="5">
        <v>41489</v>
      </c>
      <c r="D5290" s="5">
        <v>41549</v>
      </c>
      <c r="E5290" s="4" t="s">
        <v>7</v>
      </c>
      <c r="F5290" s="4" t="s">
        <v>7</v>
      </c>
    </row>
    <row r="5291" spans="1:6" x14ac:dyDescent="0.25">
      <c r="A5291" s="4" t="str">
        <f>CONCATENATE("3071-0000-4446","")</f>
        <v>3071-0000-4446</v>
      </c>
      <c r="B5291" s="4" t="s">
        <v>9323</v>
      </c>
      <c r="C5291" s="5">
        <v>41489</v>
      </c>
      <c r="D5291" s="5">
        <v>41549</v>
      </c>
      <c r="E5291" s="4" t="s">
        <v>1410</v>
      </c>
      <c r="F5291" s="4" t="s">
        <v>8696</v>
      </c>
    </row>
    <row r="5292" spans="1:6" x14ac:dyDescent="0.25">
      <c r="A5292" s="4" t="str">
        <f>CONCATENATE("3071-0000-5237","")</f>
        <v>3071-0000-5237</v>
      </c>
      <c r="B5292" s="4" t="s">
        <v>6665</v>
      </c>
      <c r="C5292" s="5">
        <v>41489</v>
      </c>
      <c r="D5292" s="5">
        <v>41549</v>
      </c>
      <c r="E5292" s="4" t="s">
        <v>5185</v>
      </c>
      <c r="F5292" s="4" t="s">
        <v>5185</v>
      </c>
    </row>
    <row r="5293" spans="1:6" x14ac:dyDescent="0.25">
      <c r="A5293" s="4" t="str">
        <f>CONCATENATE("3071-0000-3822","")</f>
        <v>3071-0000-3822</v>
      </c>
      <c r="B5293" s="4" t="s">
        <v>3868</v>
      </c>
      <c r="C5293" s="5">
        <v>41489</v>
      </c>
      <c r="D5293" s="5">
        <v>41549</v>
      </c>
      <c r="E5293" s="4" t="s">
        <v>2944</v>
      </c>
      <c r="F5293" s="4" t="s">
        <v>3513</v>
      </c>
    </row>
    <row r="5294" spans="1:6" x14ac:dyDescent="0.25">
      <c r="A5294" s="4" t="str">
        <f>CONCATENATE("3071-0000-2096","")</f>
        <v>3071-0000-2096</v>
      </c>
      <c r="B5294" s="4" t="s">
        <v>3482</v>
      </c>
      <c r="C5294" s="5">
        <v>41489</v>
      </c>
      <c r="D5294" s="5">
        <v>41549</v>
      </c>
      <c r="E5294" s="4" t="s">
        <v>2944</v>
      </c>
      <c r="F5294" s="4" t="s">
        <v>2945</v>
      </c>
    </row>
    <row r="5295" spans="1:6" x14ac:dyDescent="0.25">
      <c r="A5295" s="4" t="str">
        <f>CONCATENATE("3071-0000-3929","")</f>
        <v>3071-0000-3929</v>
      </c>
      <c r="B5295" s="4" t="s">
        <v>4077</v>
      </c>
      <c r="C5295" s="5">
        <v>41489</v>
      </c>
      <c r="D5295" s="5">
        <v>41549</v>
      </c>
      <c r="E5295" s="4" t="s">
        <v>1381</v>
      </c>
      <c r="F5295" s="4" t="s">
        <v>4057</v>
      </c>
    </row>
    <row r="5296" spans="1:6" x14ac:dyDescent="0.25">
      <c r="A5296" s="4" t="str">
        <f>CONCATENATE("3071-0000-4587","")</f>
        <v>3071-0000-4587</v>
      </c>
      <c r="B5296" s="4" t="s">
        <v>9614</v>
      </c>
      <c r="C5296" s="5">
        <v>41489</v>
      </c>
      <c r="D5296" s="5">
        <v>41549</v>
      </c>
      <c r="E5296" s="4" t="s">
        <v>7069</v>
      </c>
      <c r="F5296" s="4" t="s">
        <v>9485</v>
      </c>
    </row>
    <row r="5297" spans="1:6" x14ac:dyDescent="0.25">
      <c r="A5297" s="4" t="str">
        <f>CONCATENATE("3071-0000-4400","")</f>
        <v>3071-0000-4400</v>
      </c>
      <c r="B5297" s="4" t="s">
        <v>9255</v>
      </c>
      <c r="C5297" s="5">
        <v>41489</v>
      </c>
      <c r="D5297" s="5">
        <v>41549</v>
      </c>
      <c r="E5297" s="4" t="s">
        <v>1410</v>
      </c>
      <c r="F5297" s="4" t="s">
        <v>8696</v>
      </c>
    </row>
    <row r="5298" spans="1:6" x14ac:dyDescent="0.25">
      <c r="A5298" s="4" t="str">
        <f>CONCATENATE("3071-0000-5364","")</f>
        <v>3071-0000-5364</v>
      </c>
      <c r="B5298" s="4" t="s">
        <v>6867</v>
      </c>
      <c r="C5298" s="5">
        <v>41489</v>
      </c>
      <c r="D5298" s="5">
        <v>41549</v>
      </c>
      <c r="E5298" s="4" t="s">
        <v>5185</v>
      </c>
      <c r="F5298" s="4" t="s">
        <v>5185</v>
      </c>
    </row>
    <row r="5299" spans="1:6" x14ac:dyDescent="0.25">
      <c r="A5299" s="4" t="str">
        <f>CONCATENATE("3071-0000-5356","")</f>
        <v>3071-0000-5356</v>
      </c>
      <c r="B5299" s="4" t="s">
        <v>6858</v>
      </c>
      <c r="C5299" s="5">
        <v>41489</v>
      </c>
      <c r="D5299" s="5">
        <v>41549</v>
      </c>
      <c r="E5299" s="4" t="s">
        <v>5185</v>
      </c>
      <c r="F5299" s="4" t="s">
        <v>5185</v>
      </c>
    </row>
    <row r="5300" spans="1:6" x14ac:dyDescent="0.25">
      <c r="A5300" s="4" t="str">
        <f>CONCATENATE("3071-0000-1517","")</f>
        <v>3071-0000-1517</v>
      </c>
      <c r="B5300" s="4" t="s">
        <v>2866</v>
      </c>
      <c r="C5300" s="5">
        <v>41489</v>
      </c>
      <c r="D5300" s="5">
        <v>41549</v>
      </c>
      <c r="E5300" s="4" t="s">
        <v>1381</v>
      </c>
      <c r="F5300" s="4" t="s">
        <v>2303</v>
      </c>
    </row>
    <row r="5301" spans="1:6" x14ac:dyDescent="0.25">
      <c r="A5301" s="4" t="str">
        <f>CONCATENATE("3071-0000-1829","")</f>
        <v>3071-0000-1829</v>
      </c>
      <c r="B5301" s="4" t="s">
        <v>2704</v>
      </c>
      <c r="C5301" s="5">
        <v>41489</v>
      </c>
      <c r="D5301" s="5">
        <v>41549</v>
      </c>
      <c r="E5301" s="4" t="s">
        <v>1381</v>
      </c>
      <c r="F5301" s="4" t="s">
        <v>2662</v>
      </c>
    </row>
    <row r="5302" spans="1:6" x14ac:dyDescent="0.25">
      <c r="A5302" s="4" t="str">
        <f>CONCATENATE("3071-0000-0254","")</f>
        <v>3071-0000-0254</v>
      </c>
      <c r="B5302" s="4" t="s">
        <v>558</v>
      </c>
      <c r="C5302" s="5">
        <v>41489</v>
      </c>
      <c r="D5302" s="5">
        <v>41549</v>
      </c>
      <c r="E5302" s="4" t="s">
        <v>7</v>
      </c>
      <c r="F5302" s="4" t="s">
        <v>7</v>
      </c>
    </row>
    <row r="5303" spans="1:6" x14ac:dyDescent="0.25">
      <c r="A5303" s="4" t="str">
        <f>CONCATENATE("3071-0000-4933","")</f>
        <v>3071-0000-4933</v>
      </c>
      <c r="B5303" s="4" t="s">
        <v>9570</v>
      </c>
      <c r="C5303" s="5">
        <v>41489</v>
      </c>
      <c r="D5303" s="5">
        <v>41549</v>
      </c>
      <c r="E5303" s="4" t="s">
        <v>7069</v>
      </c>
      <c r="F5303" s="4" t="s">
        <v>9485</v>
      </c>
    </row>
    <row r="5304" spans="1:6" x14ac:dyDescent="0.25">
      <c r="A5304" s="4" t="str">
        <f>CONCATENATE("3071-0000-4429","")</f>
        <v>3071-0000-4429</v>
      </c>
      <c r="B5304" s="4" t="s">
        <v>9300</v>
      </c>
      <c r="C5304" s="5">
        <v>41489</v>
      </c>
      <c r="D5304" s="5">
        <v>41549</v>
      </c>
      <c r="E5304" s="4" t="s">
        <v>1410</v>
      </c>
      <c r="F5304" s="4" t="s">
        <v>8696</v>
      </c>
    </row>
    <row r="5305" spans="1:6" x14ac:dyDescent="0.25">
      <c r="A5305" s="4" t="str">
        <f>CONCATENATE("3071-0000-1525","")</f>
        <v>3071-0000-1525</v>
      </c>
      <c r="B5305" s="4" t="s">
        <v>2860</v>
      </c>
      <c r="C5305" s="5">
        <v>41489</v>
      </c>
      <c r="D5305" s="5">
        <v>41549</v>
      </c>
      <c r="E5305" s="4" t="s">
        <v>1381</v>
      </c>
      <c r="F5305" s="4" t="s">
        <v>2303</v>
      </c>
    </row>
    <row r="5306" spans="1:6" x14ac:dyDescent="0.25">
      <c r="A5306" s="4" t="str">
        <f>CONCATENATE("3071-0000-4989","")</f>
        <v>3071-0000-4989</v>
      </c>
      <c r="B5306" s="4" t="s">
        <v>9578</v>
      </c>
      <c r="C5306" s="5">
        <v>41489</v>
      </c>
      <c r="D5306" s="5">
        <v>41549</v>
      </c>
      <c r="E5306" s="4" t="s">
        <v>7069</v>
      </c>
      <c r="F5306" s="4" t="s">
        <v>9485</v>
      </c>
    </row>
    <row r="5307" spans="1:6" x14ac:dyDescent="0.25">
      <c r="A5307" s="4" t="str">
        <f>CONCATENATE("3071-0000-8553","")</f>
        <v>3071-0000-8553</v>
      </c>
      <c r="B5307" s="4" t="s">
        <v>5229</v>
      </c>
      <c r="C5307" s="5">
        <v>41489</v>
      </c>
      <c r="D5307" s="5">
        <v>41549</v>
      </c>
      <c r="E5307" s="4" t="s">
        <v>5185</v>
      </c>
      <c r="F5307" s="4" t="s">
        <v>5185</v>
      </c>
    </row>
    <row r="5308" spans="1:6" x14ac:dyDescent="0.25">
      <c r="A5308" s="4" t="str">
        <f>CONCATENATE("3071-0000-5703","")</f>
        <v>3071-0000-5703</v>
      </c>
      <c r="B5308" s="4" t="s">
        <v>7425</v>
      </c>
      <c r="C5308" s="5">
        <v>41489</v>
      </c>
      <c r="D5308" s="5">
        <v>41549</v>
      </c>
      <c r="E5308" s="4" t="s">
        <v>5185</v>
      </c>
      <c r="F5308" s="4" t="s">
        <v>5185</v>
      </c>
    </row>
    <row r="5309" spans="1:6" x14ac:dyDescent="0.25">
      <c r="A5309" s="4" t="str">
        <f>CONCATENATE("3071-0000-4367","")</f>
        <v>3071-0000-4367</v>
      </c>
      <c r="B5309" s="4" t="s">
        <v>9425</v>
      </c>
      <c r="C5309" s="5">
        <v>41489</v>
      </c>
      <c r="D5309" s="5">
        <v>41549</v>
      </c>
      <c r="E5309" s="4" t="s">
        <v>1410</v>
      </c>
      <c r="F5309" s="4" t="s">
        <v>8696</v>
      </c>
    </row>
    <row r="5310" spans="1:6" x14ac:dyDescent="0.25">
      <c r="A5310" s="4" t="str">
        <f>CONCATENATE("3071-0000-4835","")</f>
        <v>3071-0000-4835</v>
      </c>
      <c r="B5310" s="4" t="s">
        <v>9414</v>
      </c>
      <c r="C5310" s="5">
        <v>41489</v>
      </c>
      <c r="D5310" s="5">
        <v>41549</v>
      </c>
      <c r="E5310" s="4" t="s">
        <v>1410</v>
      </c>
      <c r="F5310" s="4" t="s">
        <v>8696</v>
      </c>
    </row>
    <row r="5311" spans="1:6" x14ac:dyDescent="0.25">
      <c r="A5311" s="4" t="str">
        <f>CONCATENATE("3071-0000-4990","")</f>
        <v>3071-0000-4990</v>
      </c>
      <c r="B5311" s="4" t="s">
        <v>9427</v>
      </c>
      <c r="C5311" s="5">
        <v>41489</v>
      </c>
      <c r="D5311" s="5">
        <v>41549</v>
      </c>
      <c r="E5311" s="4" t="s">
        <v>7069</v>
      </c>
      <c r="F5311" s="4" t="s">
        <v>9210</v>
      </c>
    </row>
    <row r="5312" spans="1:6" x14ac:dyDescent="0.25">
      <c r="A5312" s="4" t="str">
        <f>CONCATENATE("3071-0000-6670","")</f>
        <v>3071-0000-6670</v>
      </c>
      <c r="B5312" s="4" t="s">
        <v>7751</v>
      </c>
      <c r="C5312" s="5">
        <v>41489</v>
      </c>
      <c r="D5312" s="5">
        <v>41549</v>
      </c>
      <c r="E5312" s="4" t="s">
        <v>5185</v>
      </c>
      <c r="F5312" s="4" t="s">
        <v>5185</v>
      </c>
    </row>
    <row r="5313" spans="1:6" x14ac:dyDescent="0.25">
      <c r="A5313" s="4" t="str">
        <f>CONCATENATE("3071-0000-5955","")</f>
        <v>3071-0000-5955</v>
      </c>
      <c r="B5313" s="4" t="s">
        <v>7463</v>
      </c>
      <c r="C5313" s="5">
        <v>41489</v>
      </c>
      <c r="D5313" s="5">
        <v>41549</v>
      </c>
      <c r="E5313" s="4" t="s">
        <v>5185</v>
      </c>
      <c r="F5313" s="4" t="s">
        <v>5185</v>
      </c>
    </row>
    <row r="5314" spans="1:6" x14ac:dyDescent="0.25">
      <c r="A5314" s="4" t="str">
        <f>CONCATENATE("3071-0000-1354","")</f>
        <v>3071-0000-1354</v>
      </c>
      <c r="B5314" s="4" t="s">
        <v>2499</v>
      </c>
      <c r="C5314" s="5">
        <v>41489</v>
      </c>
      <c r="D5314" s="5">
        <v>41549</v>
      </c>
      <c r="E5314" s="4" t="s">
        <v>1381</v>
      </c>
      <c r="F5314" s="4" t="s">
        <v>2303</v>
      </c>
    </row>
    <row r="5315" spans="1:6" x14ac:dyDescent="0.25">
      <c r="A5315" s="4" t="str">
        <f>CONCATENATE("3071-0000-1803","")</f>
        <v>3071-0000-1803</v>
      </c>
      <c r="B5315" s="4" t="s">
        <v>2784</v>
      </c>
      <c r="C5315" s="5">
        <v>41489</v>
      </c>
      <c r="D5315" s="5">
        <v>41549</v>
      </c>
      <c r="E5315" s="4" t="s">
        <v>1381</v>
      </c>
      <c r="F5315" s="4" t="s">
        <v>2533</v>
      </c>
    </row>
    <row r="5316" spans="1:6" x14ac:dyDescent="0.25">
      <c r="A5316" s="4" t="str">
        <f>CONCATENATE("3071-0000-0252","")</f>
        <v>3071-0000-0252</v>
      </c>
      <c r="B5316" s="4" t="s">
        <v>556</v>
      </c>
      <c r="C5316" s="5">
        <v>41489</v>
      </c>
      <c r="D5316" s="5">
        <v>41549</v>
      </c>
      <c r="E5316" s="4" t="s">
        <v>7</v>
      </c>
      <c r="F5316" s="4" t="s">
        <v>7</v>
      </c>
    </row>
    <row r="5317" spans="1:6" x14ac:dyDescent="0.25">
      <c r="A5317" s="4" t="str">
        <f>CONCATENATE("3071-0000-3831","")</f>
        <v>3071-0000-3831</v>
      </c>
      <c r="B5317" s="4" t="s">
        <v>4058</v>
      </c>
      <c r="C5317" s="5">
        <v>41489</v>
      </c>
      <c r="D5317" s="5">
        <v>41549</v>
      </c>
      <c r="E5317" s="4" t="s">
        <v>1381</v>
      </c>
      <c r="F5317" s="4" t="s">
        <v>4057</v>
      </c>
    </row>
    <row r="5318" spans="1:6" x14ac:dyDescent="0.25">
      <c r="A5318" s="4" t="str">
        <f>CONCATENATE("3071-0000-4636","")</f>
        <v>3071-0000-4636</v>
      </c>
      <c r="B5318" s="4" t="s">
        <v>9394</v>
      </c>
      <c r="C5318" s="5">
        <v>41489</v>
      </c>
      <c r="D5318" s="5">
        <v>41549</v>
      </c>
      <c r="E5318" s="4" t="s">
        <v>1410</v>
      </c>
      <c r="F5318" s="4" t="s">
        <v>8696</v>
      </c>
    </row>
    <row r="5319" spans="1:6" x14ac:dyDescent="0.25">
      <c r="A5319" s="4" t="str">
        <f>CONCATENATE("3071-0000-4610","")</f>
        <v>3071-0000-4610</v>
      </c>
      <c r="B5319" s="4" t="s">
        <v>9138</v>
      </c>
      <c r="C5319" s="5">
        <v>41489</v>
      </c>
      <c r="D5319" s="5">
        <v>41549</v>
      </c>
      <c r="E5319" s="4" t="s">
        <v>1410</v>
      </c>
      <c r="F5319" s="4" t="s">
        <v>8696</v>
      </c>
    </row>
    <row r="5320" spans="1:6" x14ac:dyDescent="0.25">
      <c r="A5320" s="4" t="str">
        <f>CONCATENATE("3071-0000-4824","")</f>
        <v>3071-0000-4824</v>
      </c>
      <c r="B5320" s="4" t="s">
        <v>9450</v>
      </c>
      <c r="C5320" s="5">
        <v>41489</v>
      </c>
      <c r="D5320" s="5">
        <v>41549</v>
      </c>
      <c r="E5320" s="4" t="s">
        <v>1410</v>
      </c>
      <c r="F5320" s="4" t="s">
        <v>8696</v>
      </c>
    </row>
    <row r="5321" spans="1:6" x14ac:dyDescent="0.25">
      <c r="A5321" s="4" t="str">
        <f>CONCATENATE("3071-0000-8071","")</f>
        <v>3071-0000-8071</v>
      </c>
      <c r="B5321" s="4" t="s">
        <v>5906</v>
      </c>
      <c r="C5321" s="5">
        <v>41489</v>
      </c>
      <c r="D5321" s="5">
        <v>41549</v>
      </c>
      <c r="E5321" s="4" t="s">
        <v>5185</v>
      </c>
      <c r="F5321" s="4" t="s">
        <v>5185</v>
      </c>
    </row>
    <row r="5322" spans="1:6" x14ac:dyDescent="0.25">
      <c r="A5322" s="4" t="str">
        <f>CONCATENATE("3071-0000-5465","")</f>
        <v>3071-0000-5465</v>
      </c>
      <c r="B5322" s="4" t="s">
        <v>6846</v>
      </c>
      <c r="C5322" s="5">
        <v>41489</v>
      </c>
      <c r="D5322" s="5">
        <v>41549</v>
      </c>
      <c r="E5322" s="4" t="s">
        <v>5185</v>
      </c>
      <c r="F5322" s="4" t="s">
        <v>5185</v>
      </c>
    </row>
    <row r="5323" spans="1:6" x14ac:dyDescent="0.25">
      <c r="A5323" s="4" t="str">
        <f>CONCATENATE("3071-0000-7590","")</f>
        <v>3071-0000-7590</v>
      </c>
      <c r="B5323" s="4" t="s">
        <v>4805</v>
      </c>
      <c r="C5323" s="5">
        <v>41489</v>
      </c>
      <c r="D5323" s="5">
        <v>41549</v>
      </c>
      <c r="E5323" s="4" t="s">
        <v>1410</v>
      </c>
      <c r="F5323" s="4" t="s">
        <v>4655</v>
      </c>
    </row>
    <row r="5324" spans="1:6" x14ac:dyDescent="0.25">
      <c r="A5324" s="4" t="str">
        <f>CONCATENATE("3071-0000-4315","")</f>
        <v>3071-0000-4315</v>
      </c>
      <c r="B5324" s="4" t="s">
        <v>8703</v>
      </c>
      <c r="C5324" s="5">
        <v>41489</v>
      </c>
      <c r="D5324" s="5">
        <v>41549</v>
      </c>
      <c r="E5324" s="4" t="s">
        <v>1410</v>
      </c>
      <c r="F5324" s="4" t="s">
        <v>8696</v>
      </c>
    </row>
    <row r="5325" spans="1:6" x14ac:dyDescent="0.25">
      <c r="A5325" s="4" t="str">
        <f>CONCATENATE("3071-0000-0122","")</f>
        <v>3071-0000-0122</v>
      </c>
      <c r="B5325" s="4" t="s">
        <v>264</v>
      </c>
      <c r="C5325" s="5">
        <v>41489</v>
      </c>
      <c r="D5325" s="5">
        <v>41549</v>
      </c>
      <c r="E5325" s="4" t="s">
        <v>7</v>
      </c>
      <c r="F5325" s="4" t="s">
        <v>7</v>
      </c>
    </row>
    <row r="5326" spans="1:6" x14ac:dyDescent="0.25">
      <c r="A5326" s="4" t="str">
        <f>CONCATENATE("3071-0000-0762","")</f>
        <v>3071-0000-0762</v>
      </c>
      <c r="B5326" s="4" t="s">
        <v>571</v>
      </c>
      <c r="C5326" s="5">
        <v>41489</v>
      </c>
      <c r="D5326" s="5">
        <v>41549</v>
      </c>
      <c r="E5326" s="4" t="s">
        <v>7</v>
      </c>
      <c r="F5326" s="4" t="s">
        <v>7</v>
      </c>
    </row>
    <row r="5327" spans="1:6" x14ac:dyDescent="0.25">
      <c r="A5327" s="4" t="str">
        <f>CONCATENATE("3071-0000-6373","")</f>
        <v>3071-0000-6373</v>
      </c>
      <c r="B5327" s="4" t="s">
        <v>7904</v>
      </c>
      <c r="C5327" s="5">
        <v>41489</v>
      </c>
      <c r="D5327" s="5">
        <v>41549</v>
      </c>
      <c r="E5327" s="4" t="s">
        <v>5185</v>
      </c>
      <c r="F5327" s="4" t="s">
        <v>5185</v>
      </c>
    </row>
    <row r="5328" spans="1:6" x14ac:dyDescent="0.25">
      <c r="A5328" s="4" t="str">
        <f>CONCATENATE("3071-0000-6682","")</f>
        <v>3071-0000-6682</v>
      </c>
      <c r="B5328" s="4" t="s">
        <v>8041</v>
      </c>
      <c r="C5328" s="5">
        <v>41489</v>
      </c>
      <c r="D5328" s="5">
        <v>41549</v>
      </c>
      <c r="E5328" s="4" t="s">
        <v>5185</v>
      </c>
      <c r="F5328" s="4" t="s">
        <v>5185</v>
      </c>
    </row>
    <row r="5329" spans="1:6" x14ac:dyDescent="0.25">
      <c r="A5329" s="4" t="str">
        <f>CONCATENATE("3071-0000-6374","")</f>
        <v>3071-0000-6374</v>
      </c>
      <c r="B5329" s="4" t="s">
        <v>7905</v>
      </c>
      <c r="C5329" s="5">
        <v>41489</v>
      </c>
      <c r="D5329" s="5">
        <v>41549</v>
      </c>
      <c r="E5329" s="4" t="s">
        <v>5185</v>
      </c>
      <c r="F5329" s="4" t="s">
        <v>5185</v>
      </c>
    </row>
    <row r="5330" spans="1:6" x14ac:dyDescent="0.25">
      <c r="A5330" s="4" t="str">
        <f>CONCATENATE("3071-0000-6382","")</f>
        <v>3071-0000-6382</v>
      </c>
      <c r="B5330" s="4" t="s">
        <v>7874</v>
      </c>
      <c r="C5330" s="5">
        <v>41489</v>
      </c>
      <c r="D5330" s="5">
        <v>41549</v>
      </c>
      <c r="E5330" s="4" t="s">
        <v>5185</v>
      </c>
      <c r="F5330" s="4" t="s">
        <v>5185</v>
      </c>
    </row>
    <row r="5331" spans="1:6" x14ac:dyDescent="0.25">
      <c r="A5331" s="4" t="str">
        <f>CONCATENATE("3071-0000-0214","")</f>
        <v>3071-0000-0214</v>
      </c>
      <c r="B5331" s="4" t="s">
        <v>457</v>
      </c>
      <c r="C5331" s="5">
        <v>41489</v>
      </c>
      <c r="D5331" s="5">
        <v>41549</v>
      </c>
      <c r="E5331" s="4" t="s">
        <v>7</v>
      </c>
      <c r="F5331" s="4" t="s">
        <v>7</v>
      </c>
    </row>
    <row r="5332" spans="1:6" x14ac:dyDescent="0.25">
      <c r="A5332" s="4" t="str">
        <f>CONCATENATE("3071-0000-7737","")</f>
        <v>3071-0000-7737</v>
      </c>
      <c r="B5332" s="4" t="s">
        <v>4362</v>
      </c>
      <c r="C5332" s="5">
        <v>41489</v>
      </c>
      <c r="D5332" s="5">
        <v>41549</v>
      </c>
      <c r="E5332" s="4" t="s">
        <v>1410</v>
      </c>
      <c r="F5332" s="4" t="s">
        <v>1410</v>
      </c>
    </row>
    <row r="5333" spans="1:6" x14ac:dyDescent="0.25">
      <c r="A5333" s="4" t="str">
        <f>CONCATENATE("3071-0000-0087","")</f>
        <v>3071-0000-0087</v>
      </c>
      <c r="B5333" s="4" t="s">
        <v>160</v>
      </c>
      <c r="C5333" s="5">
        <v>41489</v>
      </c>
      <c r="D5333" s="5">
        <v>41549</v>
      </c>
      <c r="E5333" s="4" t="s">
        <v>7</v>
      </c>
      <c r="F5333" s="4" t="s">
        <v>7</v>
      </c>
    </row>
    <row r="5334" spans="1:6" x14ac:dyDescent="0.25">
      <c r="A5334" s="4" t="str">
        <f>CONCATENATE("3071-0000-6381","")</f>
        <v>3071-0000-6381</v>
      </c>
      <c r="B5334" s="4" t="s">
        <v>7916</v>
      </c>
      <c r="C5334" s="5">
        <v>41489</v>
      </c>
      <c r="D5334" s="5">
        <v>41549</v>
      </c>
      <c r="E5334" s="4" t="s">
        <v>5185</v>
      </c>
      <c r="F5334" s="4" t="s">
        <v>5185</v>
      </c>
    </row>
    <row r="5335" spans="1:6" x14ac:dyDescent="0.25">
      <c r="A5335" s="4" t="str">
        <f>CONCATENATE("3071-0000-6522","")</f>
        <v>3071-0000-6522</v>
      </c>
      <c r="B5335" s="4" t="s">
        <v>7946</v>
      </c>
      <c r="C5335" s="5">
        <v>41489</v>
      </c>
      <c r="D5335" s="5">
        <v>41549</v>
      </c>
      <c r="E5335" s="4" t="s">
        <v>5185</v>
      </c>
      <c r="F5335" s="4" t="s">
        <v>5185</v>
      </c>
    </row>
    <row r="5336" spans="1:6" x14ac:dyDescent="0.25">
      <c r="A5336" s="4" t="str">
        <f>CONCATENATE("3071-0000-6530","")</f>
        <v>3071-0000-6530</v>
      </c>
      <c r="B5336" s="4" t="s">
        <v>7956</v>
      </c>
      <c r="C5336" s="5">
        <v>41489</v>
      </c>
      <c r="D5336" s="5">
        <v>41549</v>
      </c>
      <c r="E5336" s="4" t="s">
        <v>5185</v>
      </c>
      <c r="F5336" s="4" t="s">
        <v>5185</v>
      </c>
    </row>
    <row r="5337" spans="1:6" x14ac:dyDescent="0.25">
      <c r="A5337" s="4" t="str">
        <f>CONCATENATE("3071-0000-5544","")</f>
        <v>3071-0000-5544</v>
      </c>
      <c r="B5337" s="4" t="s">
        <v>7358</v>
      </c>
      <c r="C5337" s="5">
        <v>41489</v>
      </c>
      <c r="D5337" s="5">
        <v>41549</v>
      </c>
      <c r="E5337" s="4" t="s">
        <v>5185</v>
      </c>
      <c r="F5337" s="4" t="s">
        <v>5185</v>
      </c>
    </row>
    <row r="5338" spans="1:6" x14ac:dyDescent="0.25">
      <c r="A5338" s="4" t="str">
        <f>CONCATENATE("3071-0000-6528","")</f>
        <v>3071-0000-6528</v>
      </c>
      <c r="B5338" s="4" t="s">
        <v>7952</v>
      </c>
      <c r="C5338" s="5">
        <v>41489</v>
      </c>
      <c r="D5338" s="5">
        <v>41549</v>
      </c>
      <c r="E5338" s="4" t="s">
        <v>5185</v>
      </c>
      <c r="F5338" s="4" t="s">
        <v>5185</v>
      </c>
    </row>
    <row r="5339" spans="1:6" x14ac:dyDescent="0.25">
      <c r="A5339" s="4" t="str">
        <f>CONCATENATE("3071-0000-6823","")</f>
        <v>3071-0000-6823</v>
      </c>
      <c r="B5339" s="4" t="s">
        <v>7915</v>
      </c>
      <c r="C5339" s="5">
        <v>41489</v>
      </c>
      <c r="D5339" s="5">
        <v>41549</v>
      </c>
      <c r="E5339" s="4" t="s">
        <v>1410</v>
      </c>
      <c r="F5339" s="4" t="s">
        <v>4655</v>
      </c>
    </row>
    <row r="5340" spans="1:6" x14ac:dyDescent="0.25">
      <c r="A5340" s="4" t="str">
        <f>CONCATENATE("3071-0000-6378","")</f>
        <v>3071-0000-6378</v>
      </c>
      <c r="B5340" s="4" t="s">
        <v>7910</v>
      </c>
      <c r="C5340" s="5">
        <v>41489</v>
      </c>
      <c r="D5340" s="5">
        <v>41549</v>
      </c>
      <c r="E5340" s="4" t="s">
        <v>5185</v>
      </c>
      <c r="F5340" s="4" t="s">
        <v>5185</v>
      </c>
    </row>
    <row r="5341" spans="1:6" x14ac:dyDescent="0.25">
      <c r="A5341" s="4" t="str">
        <f>CONCATENATE("3071-0000-7283","")</f>
        <v>3071-0000-7283</v>
      </c>
      <c r="B5341" s="4" t="s">
        <v>4318</v>
      </c>
      <c r="C5341" s="5">
        <v>41489</v>
      </c>
      <c r="D5341" s="5">
        <v>41549</v>
      </c>
      <c r="E5341" s="4" t="s">
        <v>1410</v>
      </c>
      <c r="F5341" s="4" t="s">
        <v>1410</v>
      </c>
    </row>
    <row r="5342" spans="1:6" x14ac:dyDescent="0.25">
      <c r="A5342" s="4" t="str">
        <f>CONCATENATE("3071-0000-6858","")</f>
        <v>3071-0000-6858</v>
      </c>
      <c r="B5342" s="4" t="s">
        <v>7954</v>
      </c>
      <c r="C5342" s="5">
        <v>41489</v>
      </c>
      <c r="D5342" s="5">
        <v>41549</v>
      </c>
      <c r="E5342" s="4" t="s">
        <v>1410</v>
      </c>
      <c r="F5342" s="4" t="s">
        <v>4655</v>
      </c>
    </row>
    <row r="5343" spans="1:6" x14ac:dyDescent="0.25">
      <c r="A5343" s="4" t="str">
        <f>CONCATENATE("3071-0000-7406","")</f>
        <v>3071-0000-7406</v>
      </c>
      <c r="B5343" s="4" t="s">
        <v>4643</v>
      </c>
      <c r="C5343" s="5">
        <v>41489</v>
      </c>
      <c r="D5343" s="5">
        <v>41549</v>
      </c>
      <c r="E5343" s="4" t="s">
        <v>1410</v>
      </c>
      <c r="F5343" s="4" t="s">
        <v>1410</v>
      </c>
    </row>
    <row r="5344" spans="1:6" x14ac:dyDescent="0.25">
      <c r="A5344" s="4" t="str">
        <f>CONCATENATE("3071-0000-6821","")</f>
        <v>3071-0000-6821</v>
      </c>
      <c r="B5344" s="4" t="s">
        <v>7883</v>
      </c>
      <c r="C5344" s="5">
        <v>41489</v>
      </c>
      <c r="D5344" s="5">
        <v>41549</v>
      </c>
      <c r="E5344" s="4" t="s">
        <v>1410</v>
      </c>
      <c r="F5344" s="4" t="s">
        <v>4655</v>
      </c>
    </row>
    <row r="5345" spans="1:6" x14ac:dyDescent="0.25">
      <c r="A5345" s="4" t="str">
        <f>CONCATENATE("3071-0000-6820","")</f>
        <v>3071-0000-6820</v>
      </c>
      <c r="B5345" s="4" t="s">
        <v>7879</v>
      </c>
      <c r="C5345" s="5">
        <v>41489</v>
      </c>
      <c r="D5345" s="5">
        <v>41549</v>
      </c>
      <c r="E5345" s="4" t="s">
        <v>1410</v>
      </c>
      <c r="F5345" s="4" t="s">
        <v>4655</v>
      </c>
    </row>
    <row r="5346" spans="1:6" x14ac:dyDescent="0.25">
      <c r="A5346" s="4" t="str">
        <f>CONCATENATE("3071-0000-6392","")</f>
        <v>3071-0000-6392</v>
      </c>
      <c r="B5346" s="4" t="s">
        <v>7841</v>
      </c>
      <c r="C5346" s="5">
        <v>41489</v>
      </c>
      <c r="D5346" s="5">
        <v>41549</v>
      </c>
      <c r="E5346" s="4" t="s">
        <v>5185</v>
      </c>
      <c r="F5346" s="4" t="s">
        <v>5185</v>
      </c>
    </row>
    <row r="5347" spans="1:6" x14ac:dyDescent="0.25">
      <c r="A5347" s="4" t="str">
        <f>CONCATENATE("3071-0000-9150","")</f>
        <v>3071-0000-9150</v>
      </c>
      <c r="B5347" s="4" t="s">
        <v>5439</v>
      </c>
      <c r="C5347" s="5">
        <v>41489</v>
      </c>
      <c r="D5347" s="5">
        <v>41549</v>
      </c>
      <c r="E5347" s="4" t="s">
        <v>1410</v>
      </c>
      <c r="F5347" s="4" t="s">
        <v>1410</v>
      </c>
    </row>
    <row r="5348" spans="1:6" x14ac:dyDescent="0.25">
      <c r="A5348" s="4" t="str">
        <f>CONCATENATE("3071-0000-6396","")</f>
        <v>3071-0000-6396</v>
      </c>
      <c r="B5348" s="4" t="s">
        <v>7835</v>
      </c>
      <c r="C5348" s="5">
        <v>41489</v>
      </c>
      <c r="D5348" s="5">
        <v>41549</v>
      </c>
      <c r="E5348" s="4" t="s">
        <v>5185</v>
      </c>
      <c r="F5348" s="4" t="s">
        <v>5185</v>
      </c>
    </row>
    <row r="5349" spans="1:6" x14ac:dyDescent="0.25">
      <c r="A5349" s="4" t="str">
        <f>CONCATENATE("3071-0000-6390","")</f>
        <v>3071-0000-6390</v>
      </c>
      <c r="B5349" s="4" t="s">
        <v>7831</v>
      </c>
      <c r="C5349" s="5">
        <v>41489</v>
      </c>
      <c r="D5349" s="5">
        <v>41549</v>
      </c>
      <c r="E5349" s="4" t="s">
        <v>5185</v>
      </c>
      <c r="F5349" s="4" t="s">
        <v>5185</v>
      </c>
    </row>
    <row r="5350" spans="1:6" x14ac:dyDescent="0.25">
      <c r="A5350" s="4" t="str">
        <f>CONCATENATE("3071-0000-6694","")</f>
        <v>3071-0000-6694</v>
      </c>
      <c r="B5350" s="4" t="s">
        <v>8043</v>
      </c>
      <c r="C5350" s="5">
        <v>41489</v>
      </c>
      <c r="D5350" s="5">
        <v>41549</v>
      </c>
      <c r="E5350" s="4" t="s">
        <v>5185</v>
      </c>
      <c r="F5350" s="4" t="s">
        <v>5185</v>
      </c>
    </row>
    <row r="5351" spans="1:6" x14ac:dyDescent="0.25">
      <c r="A5351" s="4" t="str">
        <f>CONCATENATE("3071-0000-1916","")</f>
        <v>3071-0000-1916</v>
      </c>
      <c r="B5351" s="4" t="s">
        <v>3008</v>
      </c>
      <c r="C5351" s="5">
        <v>41489</v>
      </c>
      <c r="D5351" s="5">
        <v>41549</v>
      </c>
      <c r="E5351" s="4" t="s">
        <v>2944</v>
      </c>
      <c r="F5351" s="4" t="s">
        <v>2945</v>
      </c>
    </row>
    <row r="5352" spans="1:6" x14ac:dyDescent="0.25">
      <c r="A5352" s="4" t="str">
        <f>CONCATENATE("3071-0000-7911","")</f>
        <v>3071-0000-7911</v>
      </c>
      <c r="B5352" s="4" t="s">
        <v>5602</v>
      </c>
      <c r="C5352" s="5">
        <v>41489</v>
      </c>
      <c r="D5352" s="5">
        <v>41549</v>
      </c>
      <c r="E5352" s="4" t="s">
        <v>5185</v>
      </c>
      <c r="F5352" s="4" t="s">
        <v>5185</v>
      </c>
    </row>
    <row r="5353" spans="1:6" x14ac:dyDescent="0.25">
      <c r="A5353" s="4" t="str">
        <f>CONCATENATE("3071-0000-1144","")</f>
        <v>3071-0000-1144</v>
      </c>
      <c r="B5353" s="4" t="s">
        <v>2267</v>
      </c>
      <c r="C5353" s="5">
        <v>41489</v>
      </c>
      <c r="D5353" s="5">
        <v>41549</v>
      </c>
      <c r="E5353" s="4" t="s">
        <v>1381</v>
      </c>
      <c r="F5353" s="4" t="s">
        <v>2259</v>
      </c>
    </row>
    <row r="5354" spans="1:6" x14ac:dyDescent="0.25">
      <c r="A5354" s="4" t="str">
        <f>CONCATENATE("3071-0000-1086","")</f>
        <v>3071-0000-1086</v>
      </c>
      <c r="B5354" s="4" t="s">
        <v>1984</v>
      </c>
      <c r="C5354" s="5">
        <v>41489</v>
      </c>
      <c r="D5354" s="5">
        <v>41549</v>
      </c>
      <c r="E5354" s="4" t="s">
        <v>1857</v>
      </c>
      <c r="F5354" s="4" t="s">
        <v>1857</v>
      </c>
    </row>
    <row r="5355" spans="1:6" x14ac:dyDescent="0.25">
      <c r="A5355" s="4" t="str">
        <f>CONCATENATE("3071-0000-2710","")</f>
        <v>3071-0000-2710</v>
      </c>
      <c r="B5355" s="4" t="s">
        <v>3332</v>
      </c>
      <c r="C5355" s="5">
        <v>41489</v>
      </c>
      <c r="D5355" s="5">
        <v>41549</v>
      </c>
      <c r="E5355" s="4" t="s">
        <v>1857</v>
      </c>
      <c r="F5355" s="4" t="s">
        <v>3306</v>
      </c>
    </row>
    <row r="5356" spans="1:6" x14ac:dyDescent="0.25">
      <c r="A5356" s="4" t="str">
        <f>CONCATENATE("3071-0000-0994","")</f>
        <v>3071-0000-0994</v>
      </c>
      <c r="B5356" s="4" t="s">
        <v>2198</v>
      </c>
      <c r="C5356" s="5">
        <v>41489</v>
      </c>
      <c r="D5356" s="5">
        <v>41549</v>
      </c>
      <c r="E5356" s="4" t="s">
        <v>1857</v>
      </c>
      <c r="F5356" s="4" t="s">
        <v>1857</v>
      </c>
    </row>
    <row r="5357" spans="1:6" x14ac:dyDescent="0.25">
      <c r="A5357" s="4" t="str">
        <f>CONCATENATE("3071-0000-2273","")</f>
        <v>3071-0000-2273</v>
      </c>
      <c r="B5357" s="4" t="s">
        <v>3783</v>
      </c>
      <c r="C5357" s="5">
        <v>41489</v>
      </c>
      <c r="D5357" s="5">
        <v>41549</v>
      </c>
      <c r="E5357" s="4" t="s">
        <v>2944</v>
      </c>
      <c r="F5357" s="4" t="s">
        <v>2945</v>
      </c>
    </row>
    <row r="5358" spans="1:6" x14ac:dyDescent="0.25">
      <c r="A5358" s="4" t="str">
        <f>CONCATENATE("3071-0000-4900","")</f>
        <v>3071-0000-4900</v>
      </c>
      <c r="B5358" s="4" t="s">
        <v>8715</v>
      </c>
      <c r="C5358" s="5">
        <v>41489</v>
      </c>
      <c r="D5358" s="5">
        <v>41549</v>
      </c>
      <c r="E5358" s="4" t="s">
        <v>1410</v>
      </c>
      <c r="F5358" s="4" t="s">
        <v>8696</v>
      </c>
    </row>
    <row r="5359" spans="1:6" x14ac:dyDescent="0.25">
      <c r="A5359" s="4" t="str">
        <f>CONCATENATE("3071-0000-3656","")</f>
        <v>3071-0000-3656</v>
      </c>
      <c r="B5359" s="4" t="s">
        <v>1582</v>
      </c>
      <c r="C5359" s="5">
        <v>41489</v>
      </c>
      <c r="D5359" s="5">
        <v>41549</v>
      </c>
      <c r="E5359" s="4" t="s">
        <v>1410</v>
      </c>
      <c r="F5359" s="4" t="s">
        <v>1411</v>
      </c>
    </row>
    <row r="5360" spans="1:6" x14ac:dyDescent="0.25">
      <c r="A5360" s="4" t="str">
        <f>CONCATENATE("3071-0000-9073","")</f>
        <v>3071-0000-9073</v>
      </c>
      <c r="B5360" s="4" t="s">
        <v>5935</v>
      </c>
      <c r="C5360" s="5">
        <v>41489</v>
      </c>
      <c r="D5360" s="5">
        <v>41549</v>
      </c>
      <c r="E5360" s="4" t="s">
        <v>5185</v>
      </c>
      <c r="F5360" s="4" t="s">
        <v>4188</v>
      </c>
    </row>
    <row r="5361" spans="1:6" x14ac:dyDescent="0.25">
      <c r="A5361" s="4" t="str">
        <f>CONCATENATE("3071-0000-3309","")</f>
        <v>3071-0000-3309</v>
      </c>
      <c r="B5361" s="4" t="s">
        <v>1119</v>
      </c>
      <c r="C5361" s="5">
        <v>41489</v>
      </c>
      <c r="D5361" s="5">
        <v>41549</v>
      </c>
      <c r="E5361" s="4" t="s">
        <v>7</v>
      </c>
      <c r="F5361" s="4" t="s">
        <v>808</v>
      </c>
    </row>
    <row r="5362" spans="1:6" x14ac:dyDescent="0.25">
      <c r="A5362" s="4" t="str">
        <f>CONCATENATE("3071-0000-3078","")</f>
        <v>3071-0000-3078</v>
      </c>
      <c r="B5362" s="4" t="s">
        <v>1129</v>
      </c>
      <c r="C5362" s="5">
        <v>41489</v>
      </c>
      <c r="D5362" s="5">
        <v>41549</v>
      </c>
      <c r="E5362" s="4" t="s">
        <v>7</v>
      </c>
      <c r="F5362" s="4" t="s">
        <v>808</v>
      </c>
    </row>
    <row r="5363" spans="1:6" x14ac:dyDescent="0.25">
      <c r="A5363" s="4" t="str">
        <f>CONCATENATE("3071-0000-0124","")</f>
        <v>3071-0000-0124</v>
      </c>
      <c r="B5363" s="4" t="s">
        <v>267</v>
      </c>
      <c r="C5363" s="5">
        <v>41489</v>
      </c>
      <c r="D5363" s="5">
        <v>41549</v>
      </c>
      <c r="E5363" s="4" t="s">
        <v>7</v>
      </c>
      <c r="F5363" s="4" t="s">
        <v>7</v>
      </c>
    </row>
    <row r="5364" spans="1:6" x14ac:dyDescent="0.25">
      <c r="A5364" s="4" t="str">
        <f>CONCATENATE("3071-0000-6453","")</f>
        <v>3071-0000-6453</v>
      </c>
      <c r="B5364" s="4" t="s">
        <v>8093</v>
      </c>
      <c r="C5364" s="5">
        <v>41489</v>
      </c>
      <c r="D5364" s="5">
        <v>41549</v>
      </c>
      <c r="E5364" s="4" t="s">
        <v>5185</v>
      </c>
      <c r="F5364" s="4" t="s">
        <v>5185</v>
      </c>
    </row>
    <row r="5365" spans="1:6" x14ac:dyDescent="0.25">
      <c r="A5365" s="4" t="str">
        <f>CONCATENATE("3071-0000-7789","")</f>
        <v>3071-0000-7789</v>
      </c>
      <c r="B5365" s="4" t="s">
        <v>5188</v>
      </c>
      <c r="C5365" s="5">
        <v>41489</v>
      </c>
      <c r="D5365" s="5">
        <v>41549</v>
      </c>
      <c r="E5365" s="4" t="s">
        <v>5185</v>
      </c>
      <c r="F5365" s="4" t="s">
        <v>5185</v>
      </c>
    </row>
    <row r="5366" spans="1:6" x14ac:dyDescent="0.25">
      <c r="A5366" s="4" t="str">
        <f>CONCATENATE("3071-0000-4800","")</f>
        <v>3071-0000-4800</v>
      </c>
      <c r="B5366" s="4" t="s">
        <v>9657</v>
      </c>
      <c r="C5366" s="5">
        <v>41489</v>
      </c>
      <c r="D5366" s="5">
        <v>41549</v>
      </c>
      <c r="E5366" s="4" t="s">
        <v>1410</v>
      </c>
      <c r="F5366" s="4" t="s">
        <v>8696</v>
      </c>
    </row>
    <row r="5367" spans="1:6" x14ac:dyDescent="0.25">
      <c r="A5367" s="4" t="str">
        <f>CONCATENATE("3071-0000-9054","")</f>
        <v>3071-0000-9054</v>
      </c>
      <c r="B5367" s="4" t="s">
        <v>5210</v>
      </c>
      <c r="C5367" s="5">
        <v>41489</v>
      </c>
      <c r="D5367" s="5">
        <v>41549</v>
      </c>
      <c r="E5367" s="4" t="s">
        <v>5185</v>
      </c>
      <c r="F5367" s="4" t="s">
        <v>5185</v>
      </c>
    </row>
    <row r="5368" spans="1:6" x14ac:dyDescent="0.25">
      <c r="A5368" s="4" t="str">
        <f>CONCATENATE("3071-0000-7105","")</f>
        <v>3071-0000-7105</v>
      </c>
      <c r="B5368" s="4" t="s">
        <v>4762</v>
      </c>
      <c r="C5368" s="5">
        <v>41489</v>
      </c>
      <c r="D5368" s="5">
        <v>41549</v>
      </c>
      <c r="E5368" s="4" t="s">
        <v>1410</v>
      </c>
      <c r="F5368" s="4" t="s">
        <v>1410</v>
      </c>
    </row>
    <row r="5369" spans="1:6" x14ac:dyDescent="0.25">
      <c r="A5369" s="4" t="str">
        <f>CONCATENATE("3071-0000-8735","")</f>
        <v>3071-0000-8735</v>
      </c>
      <c r="B5369" s="4" t="s">
        <v>6537</v>
      </c>
      <c r="C5369" s="5">
        <v>41489</v>
      </c>
      <c r="D5369" s="5">
        <v>41549</v>
      </c>
      <c r="E5369" s="4" t="s">
        <v>5185</v>
      </c>
      <c r="F5369" s="4" t="s">
        <v>5292</v>
      </c>
    </row>
    <row r="5370" spans="1:6" x14ac:dyDescent="0.25">
      <c r="A5370" s="4" t="str">
        <f>CONCATENATE("3071-0000-7822","")</f>
        <v>3071-0000-7822</v>
      </c>
      <c r="B5370" s="4" t="s">
        <v>5508</v>
      </c>
      <c r="C5370" s="5">
        <v>41489</v>
      </c>
      <c r="D5370" s="5">
        <v>41549</v>
      </c>
      <c r="E5370" s="4" t="s">
        <v>5185</v>
      </c>
      <c r="F5370" s="4" t="s">
        <v>5185</v>
      </c>
    </row>
    <row r="5371" spans="1:6" x14ac:dyDescent="0.25">
      <c r="A5371" s="4" t="str">
        <f>CONCATENATE("3071-0000-8767","")</f>
        <v>3071-0000-8767</v>
      </c>
      <c r="B5371" s="4" t="s">
        <v>6368</v>
      </c>
      <c r="C5371" s="5">
        <v>41489</v>
      </c>
      <c r="D5371" s="5">
        <v>41549</v>
      </c>
      <c r="E5371" s="4" t="s">
        <v>5185</v>
      </c>
      <c r="F5371" s="4" t="s">
        <v>5292</v>
      </c>
    </row>
    <row r="5372" spans="1:6" x14ac:dyDescent="0.25">
      <c r="A5372" s="4" t="str">
        <f>CONCATENATE("3071-0000-3103","")</f>
        <v>3071-0000-3103</v>
      </c>
      <c r="B5372" s="4" t="s">
        <v>874</v>
      </c>
      <c r="C5372" s="5">
        <v>41489</v>
      </c>
      <c r="D5372" s="5">
        <v>41549</v>
      </c>
      <c r="E5372" s="4" t="s">
        <v>7</v>
      </c>
      <c r="F5372" s="4" t="s">
        <v>812</v>
      </c>
    </row>
    <row r="5373" spans="1:6" x14ac:dyDescent="0.25">
      <c r="A5373" s="4" t="str">
        <f>CONCATENATE("3071-0000-8732","")</f>
        <v>3071-0000-8732</v>
      </c>
      <c r="B5373" s="4" t="s">
        <v>6539</v>
      </c>
      <c r="C5373" s="5">
        <v>41489</v>
      </c>
      <c r="D5373" s="5">
        <v>41549</v>
      </c>
      <c r="E5373" s="4" t="s">
        <v>5185</v>
      </c>
      <c r="F5373" s="4" t="s">
        <v>5292</v>
      </c>
    </row>
    <row r="5374" spans="1:6" x14ac:dyDescent="0.25">
      <c r="A5374" s="4" t="str">
        <f>CONCATENATE("3071-0000-4713","")</f>
        <v>3071-0000-4713</v>
      </c>
      <c r="B5374" s="4" t="s">
        <v>9660</v>
      </c>
      <c r="C5374" s="5">
        <v>41489</v>
      </c>
      <c r="D5374" s="5">
        <v>41549</v>
      </c>
      <c r="E5374" s="4" t="s">
        <v>1410</v>
      </c>
      <c r="F5374" s="4" t="s">
        <v>8696</v>
      </c>
    </row>
    <row r="5375" spans="1:6" x14ac:dyDescent="0.25">
      <c r="A5375" s="4" t="str">
        <f>CONCATENATE("3071-0000-6881","")</f>
        <v>3071-0000-6881</v>
      </c>
      <c r="B5375" s="4" t="s">
        <v>4330</v>
      </c>
      <c r="C5375" s="5">
        <v>41489</v>
      </c>
      <c r="D5375" s="5">
        <v>41549</v>
      </c>
      <c r="E5375" s="4" t="s">
        <v>1410</v>
      </c>
      <c r="F5375" s="4" t="s">
        <v>1410</v>
      </c>
    </row>
    <row r="5376" spans="1:6" x14ac:dyDescent="0.25">
      <c r="A5376" s="4" t="str">
        <f>CONCATENATE("3071-0000-4710","")</f>
        <v>3071-0000-4710</v>
      </c>
      <c r="B5376" s="4" t="s">
        <v>9648</v>
      </c>
      <c r="C5376" s="5">
        <v>41489</v>
      </c>
      <c r="D5376" s="5">
        <v>41549</v>
      </c>
      <c r="E5376" s="4" t="s">
        <v>1410</v>
      </c>
      <c r="F5376" s="4" t="s">
        <v>8696</v>
      </c>
    </row>
    <row r="5377" spans="1:6" x14ac:dyDescent="0.25">
      <c r="A5377" s="4" t="str">
        <f>CONCATENATE("3071-0000-5434","")</f>
        <v>3071-0000-5434</v>
      </c>
      <c r="B5377" s="4" t="s">
        <v>6920</v>
      </c>
      <c r="C5377" s="5">
        <v>41489</v>
      </c>
      <c r="D5377" s="5">
        <v>41549</v>
      </c>
      <c r="E5377" s="4" t="s">
        <v>5185</v>
      </c>
      <c r="F5377" s="4" t="s">
        <v>5185</v>
      </c>
    </row>
    <row r="5378" spans="1:6" x14ac:dyDescent="0.25">
      <c r="A5378" s="4" t="str">
        <f>CONCATENATE("3071-0000-6449","")</f>
        <v>3071-0000-6449</v>
      </c>
      <c r="B5378" s="4" t="s">
        <v>8089</v>
      </c>
      <c r="C5378" s="5">
        <v>41489</v>
      </c>
      <c r="D5378" s="5">
        <v>41549</v>
      </c>
      <c r="E5378" s="4" t="s">
        <v>5185</v>
      </c>
      <c r="F5378" s="4" t="s">
        <v>5185</v>
      </c>
    </row>
    <row r="5379" spans="1:6" x14ac:dyDescent="0.25">
      <c r="A5379" s="4" t="str">
        <f>CONCATENATE("3071-0000-4373","")</f>
        <v>3071-0000-4373</v>
      </c>
      <c r="B5379" s="4" t="s">
        <v>9219</v>
      </c>
      <c r="C5379" s="5">
        <v>41489</v>
      </c>
      <c r="D5379" s="5">
        <v>41549</v>
      </c>
      <c r="E5379" s="4" t="s">
        <v>1410</v>
      </c>
      <c r="F5379" s="4" t="s">
        <v>8696</v>
      </c>
    </row>
    <row r="5380" spans="1:6" x14ac:dyDescent="0.25">
      <c r="A5380" s="4" t="str">
        <f>CONCATENATE("3071-0000-4735","")</f>
        <v>3071-0000-4735</v>
      </c>
      <c r="B5380" s="4" t="s">
        <v>9665</v>
      </c>
      <c r="C5380" s="5">
        <v>41489</v>
      </c>
      <c r="D5380" s="5">
        <v>41549</v>
      </c>
      <c r="E5380" s="4" t="s">
        <v>1410</v>
      </c>
      <c r="F5380" s="4" t="s">
        <v>8696</v>
      </c>
    </row>
    <row r="5381" spans="1:6" x14ac:dyDescent="0.25">
      <c r="A5381" s="4" t="str">
        <f>CONCATENATE("3071-0000-3788","")</f>
        <v>3071-0000-3788</v>
      </c>
      <c r="B5381" s="4" t="s">
        <v>3874</v>
      </c>
      <c r="C5381" s="5">
        <v>41489</v>
      </c>
      <c r="D5381" s="5">
        <v>41549</v>
      </c>
      <c r="E5381" s="4" t="s">
        <v>7</v>
      </c>
      <c r="F5381" s="4" t="s">
        <v>3818</v>
      </c>
    </row>
    <row r="5382" spans="1:6" x14ac:dyDescent="0.25">
      <c r="A5382" s="4" t="str">
        <f>CONCATENATE("3071-0000-4467","")</f>
        <v>3071-0000-4467</v>
      </c>
      <c r="B5382" s="4" t="s">
        <v>9353</v>
      </c>
      <c r="C5382" s="5">
        <v>41489</v>
      </c>
      <c r="D5382" s="5">
        <v>41549</v>
      </c>
      <c r="E5382" s="4" t="s">
        <v>1410</v>
      </c>
      <c r="F5382" s="4" t="s">
        <v>8696</v>
      </c>
    </row>
    <row r="5383" spans="1:6" x14ac:dyDescent="0.25">
      <c r="A5383" s="4" t="str">
        <f>CONCATENATE("3071-0000-5922","")</f>
        <v>3071-0000-5922</v>
      </c>
      <c r="B5383" s="4" t="s">
        <v>7380</v>
      </c>
      <c r="C5383" s="5">
        <v>41489</v>
      </c>
      <c r="D5383" s="5">
        <v>41549</v>
      </c>
      <c r="E5383" s="4" t="s">
        <v>5185</v>
      </c>
      <c r="F5383" s="4" t="s">
        <v>5185</v>
      </c>
    </row>
    <row r="5384" spans="1:6" x14ac:dyDescent="0.25">
      <c r="A5384" s="4" t="str">
        <f>CONCATENATE("3071-0000-6414","")</f>
        <v>3071-0000-6414</v>
      </c>
      <c r="B5384" s="4" t="s">
        <v>8077</v>
      </c>
      <c r="C5384" s="5">
        <v>41489</v>
      </c>
      <c r="D5384" s="5">
        <v>41549</v>
      </c>
      <c r="E5384" s="4" t="s">
        <v>5185</v>
      </c>
      <c r="F5384" s="4" t="s">
        <v>5185</v>
      </c>
    </row>
    <row r="5385" spans="1:6" x14ac:dyDescent="0.25">
      <c r="A5385" s="4" t="str">
        <f>CONCATENATE("3071-0000-7066","")</f>
        <v>3071-0000-7066</v>
      </c>
      <c r="B5385" s="4" t="s">
        <v>4818</v>
      </c>
      <c r="C5385" s="5">
        <v>41489</v>
      </c>
      <c r="D5385" s="5">
        <v>41549</v>
      </c>
      <c r="E5385" s="4" t="s">
        <v>1410</v>
      </c>
      <c r="F5385" s="4" t="s">
        <v>1410</v>
      </c>
    </row>
    <row r="5386" spans="1:6" x14ac:dyDescent="0.25">
      <c r="A5386" s="4" t="str">
        <f>CONCATENATE("3071-0000-6753","")</f>
        <v>3071-0000-6753</v>
      </c>
      <c r="B5386" s="4" t="s">
        <v>8072</v>
      </c>
      <c r="C5386" s="5">
        <v>41489</v>
      </c>
      <c r="D5386" s="5">
        <v>41549</v>
      </c>
      <c r="E5386" s="4" t="s">
        <v>1410</v>
      </c>
      <c r="F5386" s="4" t="s">
        <v>7967</v>
      </c>
    </row>
    <row r="5387" spans="1:6" x14ac:dyDescent="0.25">
      <c r="A5387" s="4" t="str">
        <f>CONCATENATE("3071-0000-8217","")</f>
        <v>3071-0000-8217</v>
      </c>
      <c r="B5387" s="4" t="s">
        <v>5228</v>
      </c>
      <c r="C5387" s="5">
        <v>41489</v>
      </c>
      <c r="D5387" s="5">
        <v>41549</v>
      </c>
      <c r="E5387" s="4" t="s">
        <v>5185</v>
      </c>
      <c r="F5387" s="4" t="s">
        <v>5185</v>
      </c>
    </row>
    <row r="5388" spans="1:6" x14ac:dyDescent="0.25">
      <c r="A5388" s="4" t="str">
        <f>CONCATENATE("3071-0000-0498","")</f>
        <v>3071-0000-0498</v>
      </c>
      <c r="B5388" s="4" t="s">
        <v>431</v>
      </c>
      <c r="C5388" s="5">
        <v>41489</v>
      </c>
      <c r="D5388" s="5">
        <v>41549</v>
      </c>
      <c r="E5388" s="4" t="s">
        <v>7</v>
      </c>
      <c r="F5388" s="4" t="s">
        <v>7</v>
      </c>
    </row>
    <row r="5389" spans="1:6" x14ac:dyDescent="0.25">
      <c r="A5389" s="4" t="str">
        <f>CONCATENATE("3071-0000-6566","")</f>
        <v>3071-0000-6566</v>
      </c>
      <c r="B5389" s="4" t="s">
        <v>7815</v>
      </c>
      <c r="C5389" s="5">
        <v>41489</v>
      </c>
      <c r="D5389" s="5">
        <v>41549</v>
      </c>
      <c r="E5389" s="4" t="s">
        <v>5185</v>
      </c>
      <c r="F5389" s="4" t="s">
        <v>5185</v>
      </c>
    </row>
    <row r="5390" spans="1:6" x14ac:dyDescent="0.25">
      <c r="A5390" s="4" t="str">
        <f>CONCATENATE("3071-0000-4707","")</f>
        <v>3071-0000-4707</v>
      </c>
      <c r="B5390" s="4" t="s">
        <v>9669</v>
      </c>
      <c r="C5390" s="5">
        <v>41489</v>
      </c>
      <c r="D5390" s="5">
        <v>41549</v>
      </c>
      <c r="E5390" s="4" t="s">
        <v>1410</v>
      </c>
      <c r="F5390" s="4" t="s">
        <v>8696</v>
      </c>
    </row>
    <row r="5391" spans="1:6" x14ac:dyDescent="0.25">
      <c r="A5391" s="4" t="str">
        <f>CONCATENATE("3071-0000-4723","")</f>
        <v>3071-0000-4723</v>
      </c>
      <c r="B5391" s="4" t="s">
        <v>9684</v>
      </c>
      <c r="C5391" s="5">
        <v>41489</v>
      </c>
      <c r="D5391" s="5">
        <v>41549</v>
      </c>
      <c r="E5391" s="4" t="s">
        <v>1410</v>
      </c>
      <c r="F5391" s="4" t="s">
        <v>8696</v>
      </c>
    </row>
    <row r="5392" spans="1:6" x14ac:dyDescent="0.25">
      <c r="A5392" s="4" t="str">
        <f>CONCATENATE("3071-0000-7718","")</f>
        <v>3071-0000-7718</v>
      </c>
      <c r="B5392" s="4" t="s">
        <v>4715</v>
      </c>
      <c r="C5392" s="5">
        <v>41489</v>
      </c>
      <c r="D5392" s="5">
        <v>41549</v>
      </c>
      <c r="E5392" s="4" t="s">
        <v>1410</v>
      </c>
      <c r="F5392" s="4" t="s">
        <v>4655</v>
      </c>
    </row>
    <row r="5393" spans="1:6" x14ac:dyDescent="0.25">
      <c r="A5393" s="4" t="str">
        <f>CONCATENATE("3071-0000-4359","")</f>
        <v>3071-0000-4359</v>
      </c>
      <c r="B5393" s="4" t="s">
        <v>9437</v>
      </c>
      <c r="C5393" s="5">
        <v>41489</v>
      </c>
      <c r="D5393" s="5">
        <v>41549</v>
      </c>
      <c r="E5393" s="4" t="s">
        <v>1410</v>
      </c>
      <c r="F5393" s="4" t="s">
        <v>8696</v>
      </c>
    </row>
    <row r="5394" spans="1:6" x14ac:dyDescent="0.25">
      <c r="A5394" s="4" t="str">
        <f>CONCATENATE("3071-0000-0097","")</f>
        <v>3071-0000-0097</v>
      </c>
      <c r="B5394" s="4" t="s">
        <v>188</v>
      </c>
      <c r="C5394" s="5">
        <v>41489</v>
      </c>
      <c r="D5394" s="5">
        <v>41549</v>
      </c>
      <c r="E5394" s="4" t="s">
        <v>7</v>
      </c>
      <c r="F5394" s="4" t="s">
        <v>7</v>
      </c>
    </row>
    <row r="5395" spans="1:6" x14ac:dyDescent="0.25">
      <c r="A5395" s="4" t="str">
        <f>CONCATENATE("3071-0000-7698","")</f>
        <v>3071-0000-7698</v>
      </c>
      <c r="B5395" s="4" t="s">
        <v>4729</v>
      </c>
      <c r="C5395" s="5">
        <v>41489</v>
      </c>
      <c r="D5395" s="5">
        <v>41549</v>
      </c>
      <c r="E5395" s="4" t="s">
        <v>1410</v>
      </c>
      <c r="F5395" s="4" t="s">
        <v>4655</v>
      </c>
    </row>
    <row r="5396" spans="1:6" x14ac:dyDescent="0.25">
      <c r="A5396" s="4" t="str">
        <f>CONCATENATE("3071-0000-4931","")</f>
        <v>3071-0000-4931</v>
      </c>
      <c r="B5396" s="4" t="s">
        <v>9689</v>
      </c>
      <c r="C5396" s="5">
        <v>41489</v>
      </c>
      <c r="D5396" s="5">
        <v>41549</v>
      </c>
      <c r="E5396" s="4" t="s">
        <v>7069</v>
      </c>
      <c r="F5396" s="4" t="s">
        <v>9554</v>
      </c>
    </row>
    <row r="5397" spans="1:6" x14ac:dyDescent="0.25">
      <c r="A5397" s="4" t="str">
        <f>CONCATENATE("3071-0000-6516","")</f>
        <v>3071-0000-6516</v>
      </c>
      <c r="B5397" s="4" t="s">
        <v>7935</v>
      </c>
      <c r="C5397" s="5">
        <v>41489</v>
      </c>
      <c r="D5397" s="5">
        <v>41549</v>
      </c>
      <c r="E5397" s="4" t="s">
        <v>1410</v>
      </c>
      <c r="F5397" s="4" t="s">
        <v>4655</v>
      </c>
    </row>
    <row r="5398" spans="1:6" x14ac:dyDescent="0.25">
      <c r="A5398" s="4" t="str">
        <f>CONCATENATE("3071-0000-3948","")</f>
        <v>3071-0000-3948</v>
      </c>
      <c r="B5398" s="4" t="s">
        <v>3940</v>
      </c>
      <c r="C5398" s="5">
        <v>41489</v>
      </c>
      <c r="D5398" s="5">
        <v>41549</v>
      </c>
      <c r="E5398" s="4" t="s">
        <v>2944</v>
      </c>
      <c r="F5398" s="4" t="s">
        <v>3513</v>
      </c>
    </row>
    <row r="5399" spans="1:6" x14ac:dyDescent="0.25">
      <c r="A5399" s="4" t="str">
        <f>CONCATENATE("3071-0000-7569","")</f>
        <v>3071-0000-7569</v>
      </c>
      <c r="B5399" s="4" t="s">
        <v>4310</v>
      </c>
      <c r="C5399" s="5">
        <v>41489</v>
      </c>
      <c r="D5399" s="5">
        <v>41549</v>
      </c>
      <c r="E5399" s="4" t="s">
        <v>1410</v>
      </c>
      <c r="F5399" s="4" t="s">
        <v>1410</v>
      </c>
    </row>
    <row r="5400" spans="1:6" x14ac:dyDescent="0.25">
      <c r="A5400" s="4" t="str">
        <f>CONCATENATE("3071-0000-8542","")</f>
        <v>3071-0000-8542</v>
      </c>
      <c r="B5400" s="4" t="s">
        <v>6135</v>
      </c>
      <c r="C5400" s="5">
        <v>41489</v>
      </c>
      <c r="D5400" s="5">
        <v>41549</v>
      </c>
      <c r="E5400" s="4" t="s">
        <v>5185</v>
      </c>
      <c r="F5400" s="4" t="s">
        <v>5945</v>
      </c>
    </row>
    <row r="5401" spans="1:6" x14ac:dyDescent="0.25">
      <c r="A5401" s="4" t="str">
        <f>CONCATENATE("3071-0000-4606","")</f>
        <v>3071-0000-4606</v>
      </c>
      <c r="B5401" s="4" t="s">
        <v>9134</v>
      </c>
      <c r="C5401" s="5">
        <v>41489</v>
      </c>
      <c r="D5401" s="5">
        <v>41549</v>
      </c>
      <c r="E5401" s="4" t="s">
        <v>1410</v>
      </c>
      <c r="F5401" s="4" t="s">
        <v>8696</v>
      </c>
    </row>
    <row r="5402" spans="1:6" x14ac:dyDescent="0.25">
      <c r="A5402" s="4" t="str">
        <f>CONCATENATE("3071-0000-4921","")</f>
        <v>3071-0000-4921</v>
      </c>
      <c r="B5402" s="4" t="s">
        <v>9529</v>
      </c>
      <c r="C5402" s="5">
        <v>41489</v>
      </c>
      <c r="D5402" s="5">
        <v>41549</v>
      </c>
      <c r="E5402" s="4" t="s">
        <v>7069</v>
      </c>
      <c r="F5402" s="4" t="s">
        <v>9485</v>
      </c>
    </row>
    <row r="5403" spans="1:6" x14ac:dyDescent="0.25">
      <c r="A5403" s="4" t="str">
        <f>CONCATENATE("3071-0000-9124","")</f>
        <v>3071-0000-9124</v>
      </c>
      <c r="B5403" s="4" t="s">
        <v>6250</v>
      </c>
      <c r="C5403" s="5">
        <v>41489</v>
      </c>
      <c r="D5403" s="5">
        <v>41549</v>
      </c>
      <c r="E5403" s="4" t="s">
        <v>5185</v>
      </c>
      <c r="F5403" s="4" t="s">
        <v>5185</v>
      </c>
    </row>
    <row r="5404" spans="1:6" x14ac:dyDescent="0.25">
      <c r="A5404" s="4" t="str">
        <f>CONCATENATE("3071-0000-8844","")</f>
        <v>3071-0000-8844</v>
      </c>
      <c r="B5404" s="4" t="s">
        <v>6490</v>
      </c>
      <c r="C5404" s="5">
        <v>41489</v>
      </c>
      <c r="D5404" s="5">
        <v>41549</v>
      </c>
      <c r="E5404" s="4" t="s">
        <v>5185</v>
      </c>
      <c r="F5404" s="4" t="s">
        <v>5292</v>
      </c>
    </row>
    <row r="5405" spans="1:6" x14ac:dyDescent="0.25">
      <c r="A5405" s="4" t="str">
        <f>CONCATENATE("3071-0000-4720","")</f>
        <v>3071-0000-4720</v>
      </c>
      <c r="B5405" s="4" t="s">
        <v>9680</v>
      </c>
      <c r="C5405" s="5">
        <v>41489</v>
      </c>
      <c r="D5405" s="5">
        <v>41549</v>
      </c>
      <c r="E5405" s="4" t="s">
        <v>1410</v>
      </c>
      <c r="F5405" s="4" t="s">
        <v>8696</v>
      </c>
    </row>
    <row r="5406" spans="1:6" x14ac:dyDescent="0.25">
      <c r="A5406" s="4" t="str">
        <f>CONCATENATE("3071-0000-4743","")</f>
        <v>3071-0000-4743</v>
      </c>
      <c r="B5406" s="4" t="s">
        <v>9651</v>
      </c>
      <c r="C5406" s="5">
        <v>41489</v>
      </c>
      <c r="D5406" s="5">
        <v>41549</v>
      </c>
      <c r="E5406" s="4" t="s">
        <v>1410</v>
      </c>
      <c r="F5406" s="4" t="s">
        <v>8696</v>
      </c>
    </row>
    <row r="5407" spans="1:6" x14ac:dyDescent="0.25">
      <c r="A5407" s="4" t="str">
        <f>CONCATENATE("3071-0000-1943","")</f>
        <v>3071-0000-1943</v>
      </c>
      <c r="B5407" s="4" t="s">
        <v>3031</v>
      </c>
      <c r="C5407" s="5">
        <v>41489</v>
      </c>
      <c r="D5407" s="5">
        <v>41549</v>
      </c>
      <c r="E5407" s="4" t="s">
        <v>2944</v>
      </c>
      <c r="F5407" s="4" t="s">
        <v>2945</v>
      </c>
    </row>
    <row r="5408" spans="1:6" x14ac:dyDescent="0.25">
      <c r="A5408" s="4" t="str">
        <f>CONCATENATE("3071-0000-8651","")</f>
        <v>3071-0000-8651</v>
      </c>
      <c r="B5408" s="4" t="s">
        <v>6420</v>
      </c>
      <c r="C5408" s="5">
        <v>41489</v>
      </c>
      <c r="D5408" s="5">
        <v>41549</v>
      </c>
      <c r="E5408" s="4" t="s">
        <v>5185</v>
      </c>
      <c r="F5408" s="4" t="s">
        <v>5292</v>
      </c>
    </row>
    <row r="5409" spans="1:6" x14ac:dyDescent="0.25">
      <c r="A5409" s="4" t="str">
        <f>CONCATENATE("3071-0000-8645","")</f>
        <v>3071-0000-8645</v>
      </c>
      <c r="B5409" s="4" t="s">
        <v>6434</v>
      </c>
      <c r="C5409" s="5">
        <v>41489</v>
      </c>
      <c r="D5409" s="5">
        <v>41549</v>
      </c>
      <c r="E5409" s="4" t="s">
        <v>5185</v>
      </c>
      <c r="F5409" s="4" t="s">
        <v>5292</v>
      </c>
    </row>
    <row r="5410" spans="1:6" x14ac:dyDescent="0.25">
      <c r="A5410" s="4" t="str">
        <f>CONCATENATE("3071-0000-4177","")</f>
        <v>3071-0000-4177</v>
      </c>
      <c r="B5410" s="4" t="s">
        <v>4247</v>
      </c>
      <c r="C5410" s="5">
        <v>41489</v>
      </c>
      <c r="D5410" s="5">
        <v>41549</v>
      </c>
      <c r="E5410" s="4" t="s">
        <v>7</v>
      </c>
      <c r="F5410" s="4" t="s">
        <v>1419</v>
      </c>
    </row>
    <row r="5411" spans="1:6" x14ac:dyDescent="0.25">
      <c r="A5411" s="4" t="str">
        <f>CONCATENATE("3071-0000-8662","")</f>
        <v>3071-0000-8662</v>
      </c>
      <c r="B5411" s="4" t="s">
        <v>6444</v>
      </c>
      <c r="C5411" s="5">
        <v>41489</v>
      </c>
      <c r="D5411" s="5">
        <v>41549</v>
      </c>
      <c r="E5411" s="4" t="s">
        <v>5185</v>
      </c>
      <c r="F5411" s="4" t="s">
        <v>5292</v>
      </c>
    </row>
    <row r="5412" spans="1:6" x14ac:dyDescent="0.25">
      <c r="A5412" s="4" t="str">
        <f>CONCATENATE("3071-0000-4019","")</f>
        <v>3071-0000-4019</v>
      </c>
      <c r="B5412" s="4" t="s">
        <v>4230</v>
      </c>
      <c r="C5412" s="5">
        <v>41489</v>
      </c>
      <c r="D5412" s="5">
        <v>41549</v>
      </c>
      <c r="E5412" s="4" t="s">
        <v>7</v>
      </c>
      <c r="F5412" s="4" t="s">
        <v>3818</v>
      </c>
    </row>
    <row r="5413" spans="1:6" x14ac:dyDescent="0.25">
      <c r="A5413" s="4" t="str">
        <f>CONCATENATE("3071-0000-8759","")</f>
        <v>3071-0000-8759</v>
      </c>
      <c r="B5413" s="4" t="s">
        <v>6372</v>
      </c>
      <c r="C5413" s="5">
        <v>41489</v>
      </c>
      <c r="D5413" s="5">
        <v>41549</v>
      </c>
      <c r="E5413" s="4" t="s">
        <v>5185</v>
      </c>
      <c r="F5413" s="4" t="s">
        <v>5292</v>
      </c>
    </row>
    <row r="5414" spans="1:6" x14ac:dyDescent="0.25">
      <c r="A5414" s="4" t="str">
        <f>CONCATENATE("3071-0000-5427","")</f>
        <v>3071-0000-5427</v>
      </c>
      <c r="B5414" s="4" t="s">
        <v>6919</v>
      </c>
      <c r="C5414" s="5">
        <v>41489</v>
      </c>
      <c r="D5414" s="5">
        <v>41549</v>
      </c>
      <c r="E5414" s="4" t="s">
        <v>5185</v>
      </c>
      <c r="F5414" s="4" t="s">
        <v>5185</v>
      </c>
    </row>
    <row r="5415" spans="1:6" x14ac:dyDescent="0.25">
      <c r="A5415" s="4" t="str">
        <f>CONCATENATE("3071-0000-8666","")</f>
        <v>3071-0000-8666</v>
      </c>
      <c r="B5415" s="4" t="s">
        <v>6396</v>
      </c>
      <c r="C5415" s="5">
        <v>41489</v>
      </c>
      <c r="D5415" s="5">
        <v>41549</v>
      </c>
      <c r="E5415" s="4" t="s">
        <v>5185</v>
      </c>
      <c r="F5415" s="4" t="s">
        <v>5292</v>
      </c>
    </row>
    <row r="5416" spans="1:6" x14ac:dyDescent="0.25">
      <c r="A5416" s="4" t="str">
        <f>CONCATENATE("3071-0000-9013","")</f>
        <v>3071-0000-9013</v>
      </c>
      <c r="B5416" s="4" t="s">
        <v>6561</v>
      </c>
      <c r="C5416" s="5">
        <v>41489</v>
      </c>
      <c r="D5416" s="5">
        <v>41549</v>
      </c>
      <c r="E5416" s="4" t="s">
        <v>5185</v>
      </c>
      <c r="F5416" s="4" t="s">
        <v>5292</v>
      </c>
    </row>
    <row r="5417" spans="1:6" x14ac:dyDescent="0.25">
      <c r="A5417" s="4" t="str">
        <f>CONCATENATE("3071-0000-3895","")</f>
        <v>3071-0000-3895</v>
      </c>
      <c r="B5417" s="4" t="s">
        <v>4115</v>
      </c>
      <c r="C5417" s="5">
        <v>41489</v>
      </c>
      <c r="D5417" s="5">
        <v>41549</v>
      </c>
      <c r="E5417" s="4" t="s">
        <v>2944</v>
      </c>
      <c r="F5417" s="4" t="s">
        <v>3513</v>
      </c>
    </row>
    <row r="5418" spans="1:6" x14ac:dyDescent="0.25">
      <c r="A5418" s="4" t="str">
        <f>CONCATENATE("3071-0000-0405","")</f>
        <v>3071-0000-0405</v>
      </c>
      <c r="B5418" s="4" t="s">
        <v>682</v>
      </c>
      <c r="C5418" s="5">
        <v>41489</v>
      </c>
      <c r="D5418" s="5">
        <v>41549</v>
      </c>
      <c r="E5418" s="4" t="s">
        <v>7</v>
      </c>
      <c r="F5418" s="4" t="s">
        <v>7</v>
      </c>
    </row>
    <row r="5419" spans="1:6" x14ac:dyDescent="0.25">
      <c r="A5419" s="4" t="str">
        <f>CONCATENATE("3071-0000-8760","")</f>
        <v>3071-0000-8760</v>
      </c>
      <c r="B5419" s="4" t="s">
        <v>6371</v>
      </c>
      <c r="C5419" s="5">
        <v>41489</v>
      </c>
      <c r="D5419" s="5">
        <v>41549</v>
      </c>
      <c r="E5419" s="4" t="s">
        <v>5185</v>
      </c>
      <c r="F5419" s="4" t="s">
        <v>5292</v>
      </c>
    </row>
    <row r="5420" spans="1:6" x14ac:dyDescent="0.25">
      <c r="A5420" s="4" t="str">
        <f>CONCATENATE("3071-0000-8766","")</f>
        <v>3071-0000-8766</v>
      </c>
      <c r="B5420" s="4" t="s">
        <v>6365</v>
      </c>
      <c r="C5420" s="5">
        <v>41489</v>
      </c>
      <c r="D5420" s="5">
        <v>41549</v>
      </c>
      <c r="E5420" s="4" t="s">
        <v>5185</v>
      </c>
      <c r="F5420" s="4" t="s">
        <v>5292</v>
      </c>
    </row>
    <row r="5421" spans="1:6" x14ac:dyDescent="0.25">
      <c r="A5421" s="4" t="str">
        <f>CONCATENATE("3071-0000-7719","")</f>
        <v>3071-0000-7719</v>
      </c>
      <c r="B5421" s="4" t="s">
        <v>4728</v>
      </c>
      <c r="C5421" s="5">
        <v>41489</v>
      </c>
      <c r="D5421" s="5">
        <v>41549</v>
      </c>
      <c r="E5421" s="4" t="s">
        <v>1410</v>
      </c>
      <c r="F5421" s="4" t="s">
        <v>4655</v>
      </c>
    </row>
    <row r="5422" spans="1:6" x14ac:dyDescent="0.25">
      <c r="A5422" s="4" t="str">
        <f>CONCATENATE("3071-0000-0152","")</f>
        <v>3071-0000-0152</v>
      </c>
      <c r="B5422" s="4" t="s">
        <v>329</v>
      </c>
      <c r="C5422" s="5">
        <v>41489</v>
      </c>
      <c r="D5422" s="5">
        <v>41549</v>
      </c>
      <c r="E5422" s="4" t="s">
        <v>7</v>
      </c>
      <c r="F5422" s="4" t="s">
        <v>7</v>
      </c>
    </row>
    <row r="5423" spans="1:6" x14ac:dyDescent="0.25">
      <c r="A5423" s="4" t="str">
        <f>CONCATENATE("3071-0000-0145","")</f>
        <v>3071-0000-0145</v>
      </c>
      <c r="B5423" s="4" t="s">
        <v>320</v>
      </c>
      <c r="C5423" s="5">
        <v>41489</v>
      </c>
      <c r="D5423" s="5">
        <v>41549</v>
      </c>
      <c r="E5423" s="4" t="s">
        <v>7</v>
      </c>
      <c r="F5423" s="4" t="s">
        <v>7</v>
      </c>
    </row>
    <row r="5424" spans="1:6" x14ac:dyDescent="0.25">
      <c r="A5424" s="4" t="str">
        <f>CONCATENATE("3071-0000-0154","")</f>
        <v>3071-0000-0154</v>
      </c>
      <c r="B5424" s="4" t="s">
        <v>332</v>
      </c>
      <c r="C5424" s="5">
        <v>41489</v>
      </c>
      <c r="D5424" s="5">
        <v>41549</v>
      </c>
      <c r="E5424" s="4" t="s">
        <v>7</v>
      </c>
      <c r="F5424" s="4" t="s">
        <v>7</v>
      </c>
    </row>
    <row r="5425" spans="1:6" x14ac:dyDescent="0.25">
      <c r="A5425" s="4" t="str">
        <f>CONCATENATE("3071-0000-0602","")</f>
        <v>3071-0000-0602</v>
      </c>
      <c r="B5425" s="4" t="s">
        <v>622</v>
      </c>
      <c r="C5425" s="5">
        <v>41489</v>
      </c>
      <c r="D5425" s="5">
        <v>41549</v>
      </c>
      <c r="E5425" s="4" t="s">
        <v>7</v>
      </c>
      <c r="F5425" s="4" t="s">
        <v>7</v>
      </c>
    </row>
    <row r="5426" spans="1:6" x14ac:dyDescent="0.25">
      <c r="A5426" s="4" t="str">
        <f>CONCATENATE("3071-0000-7104","")</f>
        <v>3071-0000-7104</v>
      </c>
      <c r="B5426" s="4" t="s">
        <v>4745</v>
      </c>
      <c r="C5426" s="5">
        <v>41489</v>
      </c>
      <c r="D5426" s="5">
        <v>41549</v>
      </c>
      <c r="E5426" s="4" t="s">
        <v>1410</v>
      </c>
      <c r="F5426" s="4" t="s">
        <v>1410</v>
      </c>
    </row>
    <row r="5427" spans="1:6" x14ac:dyDescent="0.25">
      <c r="A5427" s="4" t="str">
        <f>CONCATENATE("3071-0000-0178","")</f>
        <v>3071-0000-0178</v>
      </c>
      <c r="B5427" s="4" t="s">
        <v>369</v>
      </c>
      <c r="C5427" s="5">
        <v>41489</v>
      </c>
      <c r="D5427" s="5">
        <v>41549</v>
      </c>
      <c r="E5427" s="4" t="s">
        <v>7</v>
      </c>
      <c r="F5427" s="4" t="s">
        <v>273</v>
      </c>
    </row>
    <row r="5428" spans="1:6" x14ac:dyDescent="0.25">
      <c r="A5428" s="4" t="str">
        <f>CONCATENATE("3071-0000-3718","")</f>
        <v>3071-0000-3718</v>
      </c>
      <c r="B5428" s="4" t="s">
        <v>1438</v>
      </c>
      <c r="C5428" s="5">
        <v>41489</v>
      </c>
      <c r="D5428" s="5">
        <v>41549</v>
      </c>
      <c r="E5428" s="4" t="s">
        <v>1410</v>
      </c>
      <c r="F5428" s="4" t="s">
        <v>1411</v>
      </c>
    </row>
    <row r="5429" spans="1:6" x14ac:dyDescent="0.25">
      <c r="A5429" s="4" t="str">
        <f>CONCATENATE("3071-0000-3708","")</f>
        <v>3071-0000-3708</v>
      </c>
      <c r="B5429" s="4" t="s">
        <v>1441</v>
      </c>
      <c r="C5429" s="5">
        <v>41489</v>
      </c>
      <c r="D5429" s="5">
        <v>41549</v>
      </c>
      <c r="E5429" s="4" t="s">
        <v>1410</v>
      </c>
      <c r="F5429" s="4" t="s">
        <v>1411</v>
      </c>
    </row>
    <row r="5430" spans="1:6" x14ac:dyDescent="0.25">
      <c r="A5430" s="4" t="str">
        <f>CONCATENATE("3071-0000-3725","")</f>
        <v>3071-0000-3725</v>
      </c>
      <c r="B5430" s="4" t="s">
        <v>1431</v>
      </c>
      <c r="C5430" s="5">
        <v>41489</v>
      </c>
      <c r="D5430" s="5">
        <v>41549</v>
      </c>
      <c r="E5430" s="4" t="s">
        <v>1410</v>
      </c>
      <c r="F5430" s="4" t="s">
        <v>1411</v>
      </c>
    </row>
    <row r="5431" spans="1:6" x14ac:dyDescent="0.25">
      <c r="A5431" s="4" t="str">
        <f>CONCATENATE("3071-0000-3588","")</f>
        <v>3071-0000-3588</v>
      </c>
      <c r="B5431" s="4" t="s">
        <v>1762</v>
      </c>
      <c r="C5431" s="5">
        <v>41489</v>
      </c>
      <c r="D5431" s="5">
        <v>41549</v>
      </c>
      <c r="E5431" s="4" t="s">
        <v>1410</v>
      </c>
      <c r="F5431" s="4" t="s">
        <v>1411</v>
      </c>
    </row>
    <row r="5432" spans="1:6" x14ac:dyDescent="0.25">
      <c r="A5432" s="4" t="str">
        <f>CONCATENATE("3071-0000-9228","")</f>
        <v>3071-0000-9228</v>
      </c>
      <c r="B5432" s="4" t="s">
        <v>8311</v>
      </c>
      <c r="C5432" s="5">
        <v>41489</v>
      </c>
      <c r="D5432" s="5">
        <v>41549</v>
      </c>
      <c r="E5432" s="4" t="s">
        <v>5185</v>
      </c>
      <c r="F5432" s="4" t="s">
        <v>5185</v>
      </c>
    </row>
    <row r="5433" spans="1:6" x14ac:dyDescent="0.25">
      <c r="A5433" s="4" t="str">
        <f>CONCATENATE("3071-0000-0291","")</f>
        <v>3071-0000-0291</v>
      </c>
      <c r="B5433" s="4" t="s">
        <v>548</v>
      </c>
      <c r="C5433" s="5">
        <v>41489</v>
      </c>
      <c r="D5433" s="5">
        <v>41549</v>
      </c>
      <c r="E5433" s="4" t="s">
        <v>7</v>
      </c>
      <c r="F5433" s="4" t="s">
        <v>7</v>
      </c>
    </row>
    <row r="5434" spans="1:6" x14ac:dyDescent="0.25">
      <c r="A5434" s="4" t="str">
        <f>CONCATENATE("3071-0000-0535","")</f>
        <v>3071-0000-0535</v>
      </c>
      <c r="B5434" s="4" t="s">
        <v>549</v>
      </c>
      <c r="C5434" s="5">
        <v>41489</v>
      </c>
      <c r="D5434" s="5">
        <v>41549</v>
      </c>
      <c r="E5434" s="4" t="s">
        <v>7</v>
      </c>
      <c r="F5434" s="4" t="s">
        <v>273</v>
      </c>
    </row>
    <row r="5435" spans="1:6" x14ac:dyDescent="0.25">
      <c r="A5435" s="4" t="str">
        <f>CONCATENATE("3071-0000-6317","")</f>
        <v>3071-0000-6317</v>
      </c>
      <c r="B5435" s="4" t="s">
        <v>7205</v>
      </c>
      <c r="C5435" s="5">
        <v>41489</v>
      </c>
      <c r="D5435" s="5">
        <v>41549</v>
      </c>
      <c r="E5435" s="4" t="s">
        <v>7069</v>
      </c>
      <c r="F5435" s="4" t="s">
        <v>7183</v>
      </c>
    </row>
    <row r="5436" spans="1:6" x14ac:dyDescent="0.25">
      <c r="A5436" s="4" t="str">
        <f>CONCATENATE("3071-0000-2159","")</f>
        <v>3071-0000-2159</v>
      </c>
      <c r="B5436" s="4" t="s">
        <v>3190</v>
      </c>
      <c r="C5436" s="5">
        <v>41489</v>
      </c>
      <c r="D5436" s="5">
        <v>41549</v>
      </c>
      <c r="E5436" s="4" t="s">
        <v>2944</v>
      </c>
      <c r="F5436" s="4" t="s">
        <v>2945</v>
      </c>
    </row>
    <row r="5437" spans="1:6" x14ac:dyDescent="0.25">
      <c r="A5437" s="4" t="str">
        <f>CONCATENATE("3071-0000-2650","")</f>
        <v>3071-0000-2650</v>
      </c>
      <c r="B5437" s="4" t="s">
        <v>3200</v>
      </c>
      <c r="C5437" s="5">
        <v>41489</v>
      </c>
      <c r="D5437" s="5">
        <v>41549</v>
      </c>
      <c r="E5437" s="4" t="s">
        <v>2944</v>
      </c>
      <c r="F5437" s="4" t="s">
        <v>3164</v>
      </c>
    </row>
    <row r="5438" spans="1:6" x14ac:dyDescent="0.25">
      <c r="A5438" s="4" t="str">
        <f>CONCATENATE("3071-0000-2589","")</f>
        <v>3071-0000-2589</v>
      </c>
      <c r="B5438" s="4" t="s">
        <v>3233</v>
      </c>
      <c r="C5438" s="5">
        <v>41489</v>
      </c>
      <c r="D5438" s="5">
        <v>41549</v>
      </c>
      <c r="E5438" s="4" t="s">
        <v>2944</v>
      </c>
      <c r="F5438" s="4" t="s">
        <v>3164</v>
      </c>
    </row>
    <row r="5439" spans="1:6" x14ac:dyDescent="0.25">
      <c r="A5439" s="4" t="str">
        <f>CONCATENATE("3071-0000-7289","")</f>
        <v>3071-0000-7289</v>
      </c>
      <c r="B5439" s="4" t="s">
        <v>4460</v>
      </c>
      <c r="C5439" s="5">
        <v>41489</v>
      </c>
      <c r="D5439" s="5">
        <v>41549</v>
      </c>
      <c r="E5439" s="4" t="s">
        <v>1410</v>
      </c>
      <c r="F5439" s="4" t="s">
        <v>1410</v>
      </c>
    </row>
    <row r="5440" spans="1:6" x14ac:dyDescent="0.25">
      <c r="A5440" s="4" t="str">
        <f>CONCATENATE("3071-0000-6207","")</f>
        <v>3071-0000-6207</v>
      </c>
      <c r="B5440" s="4" t="s">
        <v>7443</v>
      </c>
      <c r="C5440" s="5">
        <v>41489</v>
      </c>
      <c r="D5440" s="5">
        <v>41549</v>
      </c>
      <c r="E5440" s="4" t="s">
        <v>1410</v>
      </c>
      <c r="F5440" s="4" t="s">
        <v>7309</v>
      </c>
    </row>
    <row r="5441" spans="1:6" x14ac:dyDescent="0.25">
      <c r="A5441" s="4" t="str">
        <f>CONCATENATE("3071-0000-1819","")</f>
        <v>3071-0000-1819</v>
      </c>
      <c r="B5441" s="4" t="s">
        <v>2617</v>
      </c>
      <c r="C5441" s="5">
        <v>41489</v>
      </c>
      <c r="D5441" s="5">
        <v>41549</v>
      </c>
      <c r="E5441" s="4" t="s">
        <v>1381</v>
      </c>
      <c r="F5441" s="4" t="s">
        <v>2319</v>
      </c>
    </row>
    <row r="5442" spans="1:6" x14ac:dyDescent="0.25">
      <c r="A5442" s="4" t="str">
        <f>CONCATENATE("3071-0000-0232","")</f>
        <v>3071-0000-0232</v>
      </c>
      <c r="B5442" s="4" t="s">
        <v>491</v>
      </c>
      <c r="C5442" s="5">
        <v>41489</v>
      </c>
      <c r="D5442" s="5">
        <v>41549</v>
      </c>
      <c r="E5442" s="4" t="s">
        <v>7</v>
      </c>
      <c r="F5442" s="4" t="s">
        <v>7</v>
      </c>
    </row>
    <row r="5443" spans="1:6" x14ac:dyDescent="0.25">
      <c r="A5443" s="4" t="str">
        <f>CONCATENATE("3071-0000-1784","")</f>
        <v>3071-0000-1784</v>
      </c>
      <c r="B5443" s="4" t="s">
        <v>2645</v>
      </c>
      <c r="C5443" s="5">
        <v>41489</v>
      </c>
      <c r="D5443" s="5">
        <v>41549</v>
      </c>
      <c r="E5443" s="4" t="s">
        <v>1381</v>
      </c>
      <c r="F5443" s="4" t="s">
        <v>2319</v>
      </c>
    </row>
    <row r="5444" spans="1:6" x14ac:dyDescent="0.25">
      <c r="A5444" s="4" t="str">
        <f>CONCATENATE("3071-0000-1405","")</f>
        <v>3071-0000-1405</v>
      </c>
      <c r="B5444" s="4" t="s">
        <v>2627</v>
      </c>
      <c r="C5444" s="5">
        <v>41489</v>
      </c>
      <c r="D5444" s="5">
        <v>41549</v>
      </c>
      <c r="E5444" s="4" t="s">
        <v>1381</v>
      </c>
      <c r="F5444" s="4" t="s">
        <v>2303</v>
      </c>
    </row>
    <row r="5445" spans="1:6" x14ac:dyDescent="0.25">
      <c r="A5445" s="4" t="str">
        <f>CONCATENATE("3071-0000-0630","")</f>
        <v>3071-0000-0630</v>
      </c>
      <c r="B5445" s="4" t="s">
        <v>93</v>
      </c>
      <c r="C5445" s="5">
        <v>41489</v>
      </c>
      <c r="D5445" s="5">
        <v>41549</v>
      </c>
      <c r="E5445" s="4" t="s">
        <v>7</v>
      </c>
      <c r="F5445" s="4" t="s">
        <v>7</v>
      </c>
    </row>
    <row r="5446" spans="1:6" x14ac:dyDescent="0.25">
      <c r="A5446" s="4" t="str">
        <f>CONCATENATE("3071-0000-4098","")</f>
        <v>3071-0000-4098</v>
      </c>
      <c r="B5446" s="4" t="s">
        <v>4038</v>
      </c>
      <c r="C5446" s="5">
        <v>41489</v>
      </c>
      <c r="D5446" s="5">
        <v>41549</v>
      </c>
      <c r="E5446" s="4" t="s">
        <v>1381</v>
      </c>
      <c r="F5446" s="4" t="s">
        <v>3994</v>
      </c>
    </row>
    <row r="5447" spans="1:6" x14ac:dyDescent="0.25">
      <c r="A5447" s="4" t="str">
        <f>CONCATENATE("3071-0000-3841","")</f>
        <v>3071-0000-3841</v>
      </c>
      <c r="B5447" s="4" t="s">
        <v>3891</v>
      </c>
      <c r="C5447" s="5">
        <v>41489</v>
      </c>
      <c r="D5447" s="5">
        <v>41549</v>
      </c>
      <c r="E5447" s="4" t="s">
        <v>2944</v>
      </c>
      <c r="F5447" s="4" t="s">
        <v>3513</v>
      </c>
    </row>
    <row r="5448" spans="1:6" x14ac:dyDescent="0.25">
      <c r="A5448" s="4" t="str">
        <f>CONCATENATE("3071-0000-8952","")</f>
        <v>3071-0000-8952</v>
      </c>
      <c r="B5448" s="4" t="s">
        <v>6280</v>
      </c>
      <c r="C5448" s="5">
        <v>41489</v>
      </c>
      <c r="D5448" s="5">
        <v>41549</v>
      </c>
      <c r="E5448" s="4" t="s">
        <v>5185</v>
      </c>
      <c r="F5448" s="4" t="s">
        <v>6181</v>
      </c>
    </row>
    <row r="5449" spans="1:6" x14ac:dyDescent="0.25">
      <c r="A5449" s="4" t="str">
        <f>CONCATENATE("3071-0000-9217","")</f>
        <v>3071-0000-9217</v>
      </c>
      <c r="B5449" s="4" t="s">
        <v>8285</v>
      </c>
      <c r="C5449" s="5">
        <v>41489</v>
      </c>
      <c r="D5449" s="5">
        <v>41549</v>
      </c>
      <c r="E5449" s="4" t="s">
        <v>5185</v>
      </c>
      <c r="F5449" s="4" t="s">
        <v>5185</v>
      </c>
    </row>
    <row r="5450" spans="1:6" x14ac:dyDescent="0.25">
      <c r="A5450" s="4" t="str">
        <f>CONCATENATE("3071-0000-8953","")</f>
        <v>3071-0000-8953</v>
      </c>
      <c r="B5450" s="4" t="s">
        <v>6283</v>
      </c>
      <c r="C5450" s="5">
        <v>41489</v>
      </c>
      <c r="D5450" s="5">
        <v>41549</v>
      </c>
      <c r="E5450" s="4" t="s">
        <v>5185</v>
      </c>
      <c r="F5450" s="4" t="s">
        <v>6181</v>
      </c>
    </row>
    <row r="5451" spans="1:6" x14ac:dyDescent="0.25">
      <c r="A5451" s="4" t="str">
        <f>CONCATENATE("3071-0000-8849","")</f>
        <v>3071-0000-8849</v>
      </c>
      <c r="B5451" s="4" t="s">
        <v>5850</v>
      </c>
      <c r="C5451" s="5">
        <v>41489</v>
      </c>
      <c r="D5451" s="5">
        <v>41549</v>
      </c>
      <c r="E5451" s="4" t="s">
        <v>5185</v>
      </c>
      <c r="F5451" s="4" t="s">
        <v>4188</v>
      </c>
    </row>
    <row r="5452" spans="1:6" x14ac:dyDescent="0.25">
      <c r="A5452" s="4" t="str">
        <f>CONCATENATE("3071-0000-7423","")</f>
        <v>3071-0000-7423</v>
      </c>
      <c r="B5452" s="4" t="s">
        <v>4296</v>
      </c>
      <c r="C5452" s="5">
        <v>41489</v>
      </c>
      <c r="D5452" s="5">
        <v>41549</v>
      </c>
      <c r="E5452" s="4" t="s">
        <v>1410</v>
      </c>
      <c r="F5452" s="4" t="s">
        <v>1410</v>
      </c>
    </row>
    <row r="5453" spans="1:6" x14ac:dyDescent="0.25">
      <c r="A5453" s="4" t="str">
        <f>CONCATENATE("3071-0000-8950","")</f>
        <v>3071-0000-8950</v>
      </c>
      <c r="B5453" s="4" t="s">
        <v>6282</v>
      </c>
      <c r="C5453" s="5">
        <v>41489</v>
      </c>
      <c r="D5453" s="5">
        <v>41549</v>
      </c>
      <c r="E5453" s="4" t="s">
        <v>5185</v>
      </c>
      <c r="F5453" s="4" t="s">
        <v>6181</v>
      </c>
    </row>
    <row r="5454" spans="1:6" x14ac:dyDescent="0.25">
      <c r="A5454" s="4" t="str">
        <f>CONCATENATE("3071-0000-8951","")</f>
        <v>3071-0000-8951</v>
      </c>
      <c r="B5454" s="4" t="s">
        <v>6281</v>
      </c>
      <c r="C5454" s="5">
        <v>41489</v>
      </c>
      <c r="D5454" s="5">
        <v>41549</v>
      </c>
      <c r="E5454" s="4" t="s">
        <v>5185</v>
      </c>
      <c r="F5454" s="4" t="s">
        <v>6181</v>
      </c>
    </row>
    <row r="5455" spans="1:6" x14ac:dyDescent="0.25">
      <c r="A5455" s="4" t="str">
        <f>CONCATENATE("3071-0000-8579","")</f>
        <v>3071-0000-8579</v>
      </c>
      <c r="B5455" s="4" t="s">
        <v>5694</v>
      </c>
      <c r="C5455" s="5">
        <v>41489</v>
      </c>
      <c r="D5455" s="5">
        <v>41549</v>
      </c>
      <c r="E5455" s="4" t="s">
        <v>5185</v>
      </c>
      <c r="F5455" s="4" t="s">
        <v>5250</v>
      </c>
    </row>
    <row r="5456" spans="1:6" x14ac:dyDescent="0.25">
      <c r="A5456" s="4" t="str">
        <f>CONCATENATE("3071-0000-9460","")</f>
        <v>3071-0000-9460</v>
      </c>
      <c r="B5456" s="4" t="s">
        <v>8526</v>
      </c>
      <c r="C5456" s="5">
        <v>41489</v>
      </c>
      <c r="D5456" s="5">
        <v>41549</v>
      </c>
      <c r="E5456" s="4" t="s">
        <v>1410</v>
      </c>
      <c r="F5456" s="4" t="s">
        <v>4459</v>
      </c>
    </row>
    <row r="5457" spans="1:6" x14ac:dyDescent="0.25">
      <c r="A5457" s="4" t="str">
        <f>CONCATENATE("3071-0000-8312","")</f>
        <v>3071-0000-8312</v>
      </c>
      <c r="B5457" s="4" t="s">
        <v>5838</v>
      </c>
      <c r="C5457" s="5">
        <v>41489</v>
      </c>
      <c r="D5457" s="5">
        <v>41549</v>
      </c>
      <c r="E5457" s="4" t="s">
        <v>5185</v>
      </c>
      <c r="F5457" s="4" t="s">
        <v>5185</v>
      </c>
    </row>
    <row r="5458" spans="1:6" x14ac:dyDescent="0.25">
      <c r="A5458" s="4" t="str">
        <f>CONCATENATE("3071-0000-9078","")</f>
        <v>3071-0000-9078</v>
      </c>
      <c r="B5458" s="4" t="s">
        <v>5251</v>
      </c>
      <c r="C5458" s="5">
        <v>41489</v>
      </c>
      <c r="D5458" s="5">
        <v>41549</v>
      </c>
      <c r="E5458" s="4" t="s">
        <v>5185</v>
      </c>
      <c r="F5458" s="4" t="s">
        <v>5250</v>
      </c>
    </row>
    <row r="5459" spans="1:6" x14ac:dyDescent="0.25">
      <c r="A5459" s="4" t="str">
        <f>CONCATENATE("3071-0000-9151","")</f>
        <v>3071-0000-9151</v>
      </c>
      <c r="B5459" s="4" t="s">
        <v>5440</v>
      </c>
      <c r="C5459" s="5">
        <v>41489</v>
      </c>
      <c r="D5459" s="5">
        <v>41549</v>
      </c>
      <c r="E5459" s="4" t="s">
        <v>1410</v>
      </c>
      <c r="F5459" s="4" t="s">
        <v>1410</v>
      </c>
    </row>
    <row r="5460" spans="1:6" x14ac:dyDescent="0.25">
      <c r="A5460" s="4" t="str">
        <f>CONCATENATE("3071-0000-3830","")</f>
        <v>3071-0000-3830</v>
      </c>
      <c r="B5460" s="4" t="s">
        <v>4056</v>
      </c>
      <c r="C5460" s="5">
        <v>41489</v>
      </c>
      <c r="D5460" s="5">
        <v>41549</v>
      </c>
      <c r="E5460" s="4" t="s">
        <v>1381</v>
      </c>
      <c r="F5460" s="4" t="s">
        <v>4057</v>
      </c>
    </row>
    <row r="5461" spans="1:6" x14ac:dyDescent="0.25">
      <c r="A5461" s="4" t="str">
        <f>CONCATENATE("3071-0000-4412","")</f>
        <v>3071-0000-4412</v>
      </c>
      <c r="B5461" s="4" t="s">
        <v>9273</v>
      </c>
      <c r="C5461" s="5">
        <v>41489</v>
      </c>
      <c r="D5461" s="5">
        <v>41549</v>
      </c>
      <c r="E5461" s="4" t="s">
        <v>1410</v>
      </c>
      <c r="F5461" s="4" t="s">
        <v>8696</v>
      </c>
    </row>
    <row r="5462" spans="1:6" x14ac:dyDescent="0.25">
      <c r="A5462" s="4" t="str">
        <f>CONCATENATE("3071-0000-5974","")</f>
        <v>3071-0000-5974</v>
      </c>
      <c r="B5462" s="4" t="s">
        <v>7174</v>
      </c>
      <c r="C5462" s="5">
        <v>41489</v>
      </c>
      <c r="D5462" s="5">
        <v>41549</v>
      </c>
      <c r="E5462" s="4" t="s">
        <v>5185</v>
      </c>
      <c r="F5462" s="4" t="s">
        <v>5185</v>
      </c>
    </row>
    <row r="5463" spans="1:6" x14ac:dyDescent="0.25">
      <c r="A5463" s="4" t="str">
        <f>CONCATENATE("3071-0000-6203","")</f>
        <v>3071-0000-6203</v>
      </c>
      <c r="B5463" s="4" t="s">
        <v>7149</v>
      </c>
      <c r="C5463" s="5">
        <v>41489</v>
      </c>
      <c r="D5463" s="5">
        <v>41549</v>
      </c>
      <c r="E5463" s="4" t="s">
        <v>7069</v>
      </c>
      <c r="F5463" s="4" t="s">
        <v>7120</v>
      </c>
    </row>
    <row r="5464" spans="1:6" x14ac:dyDescent="0.25">
      <c r="A5464" s="4" t="str">
        <f>CONCATENATE("3071-0000-4397","")</f>
        <v>3071-0000-4397</v>
      </c>
      <c r="B5464" s="4" t="s">
        <v>9416</v>
      </c>
      <c r="C5464" s="5">
        <v>41489</v>
      </c>
      <c r="D5464" s="5">
        <v>41549</v>
      </c>
      <c r="E5464" s="4" t="s">
        <v>1410</v>
      </c>
      <c r="F5464" s="4" t="s">
        <v>8696</v>
      </c>
    </row>
    <row r="5465" spans="1:6" x14ac:dyDescent="0.25">
      <c r="A5465" s="4" t="str">
        <f>CONCATENATE("3071-0000-4393","")</f>
        <v>3071-0000-4393</v>
      </c>
      <c r="B5465" s="4" t="s">
        <v>9248</v>
      </c>
      <c r="C5465" s="5">
        <v>41489</v>
      </c>
      <c r="D5465" s="5">
        <v>41549</v>
      </c>
      <c r="E5465" s="4" t="s">
        <v>1410</v>
      </c>
      <c r="F5465" s="4" t="s">
        <v>8696</v>
      </c>
    </row>
    <row r="5466" spans="1:6" x14ac:dyDescent="0.25">
      <c r="A5466" s="4" t="str">
        <f>CONCATENATE("3071-0000-6009","")</f>
        <v>3071-0000-6009</v>
      </c>
      <c r="B5466" s="4" t="s">
        <v>7351</v>
      </c>
      <c r="C5466" s="5">
        <v>41489</v>
      </c>
      <c r="D5466" s="5">
        <v>41549</v>
      </c>
      <c r="E5466" s="4" t="s">
        <v>5185</v>
      </c>
      <c r="F5466" s="4" t="s">
        <v>5185</v>
      </c>
    </row>
    <row r="5467" spans="1:6" x14ac:dyDescent="0.25">
      <c r="A5467" s="4" t="str">
        <f>CONCATENATE("3071-0000-5971","")</f>
        <v>3071-0000-5971</v>
      </c>
      <c r="B5467" s="4" t="s">
        <v>7175</v>
      </c>
      <c r="C5467" s="5">
        <v>41489</v>
      </c>
      <c r="D5467" s="5">
        <v>41549</v>
      </c>
      <c r="E5467" s="4" t="s">
        <v>5185</v>
      </c>
      <c r="F5467" s="4" t="s">
        <v>5185</v>
      </c>
    </row>
    <row r="5468" spans="1:6" x14ac:dyDescent="0.25">
      <c r="A5468" s="4" t="str">
        <f>CONCATENATE("3071-0000-5866","")</f>
        <v>3071-0000-5866</v>
      </c>
      <c r="B5468" s="4" t="s">
        <v>7354</v>
      </c>
      <c r="C5468" s="5">
        <v>41489</v>
      </c>
      <c r="D5468" s="5">
        <v>41549</v>
      </c>
      <c r="E5468" s="4" t="s">
        <v>5185</v>
      </c>
      <c r="F5468" s="4" t="s">
        <v>5185</v>
      </c>
    </row>
    <row r="5469" spans="1:6" x14ac:dyDescent="0.25">
      <c r="A5469" s="4" t="str">
        <f>CONCATENATE("3071-0000-5973","")</f>
        <v>3071-0000-5973</v>
      </c>
      <c r="B5469" s="4" t="s">
        <v>7180</v>
      </c>
      <c r="C5469" s="5">
        <v>41489</v>
      </c>
      <c r="D5469" s="5">
        <v>41549</v>
      </c>
      <c r="E5469" s="4" t="s">
        <v>5185</v>
      </c>
      <c r="F5469" s="4" t="s">
        <v>5185</v>
      </c>
    </row>
    <row r="5470" spans="1:6" x14ac:dyDescent="0.25">
      <c r="A5470" s="4" t="str">
        <f>CONCATENATE("3071-0000-0388","")</f>
        <v>3071-0000-0388</v>
      </c>
      <c r="B5470" s="4" t="s">
        <v>742</v>
      </c>
      <c r="C5470" s="5">
        <v>41489</v>
      </c>
      <c r="D5470" s="5">
        <v>41549</v>
      </c>
      <c r="E5470" s="4" t="s">
        <v>7</v>
      </c>
      <c r="F5470" s="4" t="s">
        <v>7</v>
      </c>
    </row>
    <row r="5471" spans="1:6" x14ac:dyDescent="0.25">
      <c r="A5471" s="4" t="str">
        <f>CONCATENATE("3071-0000-8627","")</f>
        <v>3071-0000-8627</v>
      </c>
      <c r="B5471" s="4" t="s">
        <v>5556</v>
      </c>
      <c r="C5471" s="5">
        <v>41489</v>
      </c>
      <c r="D5471" s="5">
        <v>41549</v>
      </c>
      <c r="E5471" s="4" t="s">
        <v>5185</v>
      </c>
      <c r="F5471" s="4" t="s">
        <v>5250</v>
      </c>
    </row>
    <row r="5472" spans="1:6" x14ac:dyDescent="0.25">
      <c r="A5472" s="4" t="str">
        <f>CONCATENATE("3071-0000-4414","")</f>
        <v>3071-0000-4414</v>
      </c>
      <c r="B5472" s="4" t="s">
        <v>9276</v>
      </c>
      <c r="C5472" s="5">
        <v>41489</v>
      </c>
      <c r="D5472" s="5">
        <v>41549</v>
      </c>
      <c r="E5472" s="4" t="s">
        <v>1410</v>
      </c>
      <c r="F5472" s="4" t="s">
        <v>8696</v>
      </c>
    </row>
    <row r="5473" spans="1:6" x14ac:dyDescent="0.25">
      <c r="A5473" s="4" t="str">
        <f>CONCATENATE("3071-0000-8105","")</f>
        <v>3071-0000-8105</v>
      </c>
      <c r="B5473" s="4" t="s">
        <v>5985</v>
      </c>
      <c r="C5473" s="5">
        <v>41489</v>
      </c>
      <c r="D5473" s="5">
        <v>41549</v>
      </c>
      <c r="E5473" s="4" t="s">
        <v>5185</v>
      </c>
      <c r="F5473" s="4" t="s">
        <v>5185</v>
      </c>
    </row>
    <row r="5474" spans="1:6" x14ac:dyDescent="0.25">
      <c r="A5474" s="4" t="str">
        <f>CONCATENATE("3071-0000-4996","")</f>
        <v>3071-0000-4996</v>
      </c>
      <c r="B5474" s="4" t="s">
        <v>9238</v>
      </c>
      <c r="C5474" s="5">
        <v>41489</v>
      </c>
      <c r="D5474" s="5">
        <v>41549</v>
      </c>
      <c r="E5474" s="4" t="s">
        <v>7069</v>
      </c>
      <c r="F5474" s="4" t="s">
        <v>9210</v>
      </c>
    </row>
    <row r="5475" spans="1:6" x14ac:dyDescent="0.25">
      <c r="A5475" s="4" t="str">
        <f>CONCATENATE("3071-0000-4598","")</f>
        <v>3071-0000-4598</v>
      </c>
      <c r="B5475" s="4" t="s">
        <v>9120</v>
      </c>
      <c r="C5475" s="5">
        <v>41489</v>
      </c>
      <c r="D5475" s="5">
        <v>41549</v>
      </c>
      <c r="E5475" s="4" t="s">
        <v>1410</v>
      </c>
      <c r="F5475" s="4" t="s">
        <v>8696</v>
      </c>
    </row>
    <row r="5476" spans="1:6" x14ac:dyDescent="0.25">
      <c r="A5476" s="4" t="str">
        <f>CONCATENATE("3071-0000-2779","")</f>
        <v>3071-0000-2779</v>
      </c>
      <c r="B5476" s="4" t="s">
        <v>945</v>
      </c>
      <c r="C5476" s="5">
        <v>41489</v>
      </c>
      <c r="D5476" s="5">
        <v>41549</v>
      </c>
      <c r="E5476" s="4" t="s">
        <v>7</v>
      </c>
      <c r="F5476" s="4" t="s">
        <v>808</v>
      </c>
    </row>
    <row r="5477" spans="1:6" x14ac:dyDescent="0.25">
      <c r="A5477" s="4" t="str">
        <f>CONCATENATE("3071-0000-0278","")</f>
        <v>3071-0000-0278</v>
      </c>
      <c r="B5477" s="4" t="s">
        <v>668</v>
      </c>
      <c r="C5477" s="5">
        <v>41489</v>
      </c>
      <c r="D5477" s="5">
        <v>41549</v>
      </c>
      <c r="E5477" s="4" t="s">
        <v>7</v>
      </c>
      <c r="F5477" s="4" t="s">
        <v>7</v>
      </c>
    </row>
    <row r="5478" spans="1:6" x14ac:dyDescent="0.25">
      <c r="A5478" s="4" t="str">
        <f>CONCATENATE("3071-0000-8532","")</f>
        <v>3071-0000-8532</v>
      </c>
      <c r="B5478" s="4" t="s">
        <v>6130</v>
      </c>
      <c r="C5478" s="5">
        <v>41489</v>
      </c>
      <c r="D5478" s="5">
        <v>41549</v>
      </c>
      <c r="E5478" s="4" t="s">
        <v>5185</v>
      </c>
      <c r="F5478" s="4" t="s">
        <v>5945</v>
      </c>
    </row>
    <row r="5479" spans="1:6" x14ac:dyDescent="0.25">
      <c r="A5479" s="4" t="str">
        <f>CONCATENATE("3071-0000-7070","")</f>
        <v>3071-0000-7070</v>
      </c>
      <c r="B5479" s="4" t="s">
        <v>4719</v>
      </c>
      <c r="C5479" s="5">
        <v>41489</v>
      </c>
      <c r="D5479" s="5">
        <v>41549</v>
      </c>
      <c r="E5479" s="4" t="s">
        <v>1410</v>
      </c>
      <c r="F5479" s="4" t="s">
        <v>1410</v>
      </c>
    </row>
    <row r="5480" spans="1:6" x14ac:dyDescent="0.25">
      <c r="A5480" s="4" t="str">
        <f>CONCATENATE("3071-0000-4934","")</f>
        <v>3071-0000-4934</v>
      </c>
      <c r="B5480" s="4" t="s">
        <v>9604</v>
      </c>
      <c r="C5480" s="5">
        <v>41489</v>
      </c>
      <c r="D5480" s="5">
        <v>41549</v>
      </c>
      <c r="E5480" s="4" t="s">
        <v>7069</v>
      </c>
      <c r="F5480" s="4" t="s">
        <v>9485</v>
      </c>
    </row>
    <row r="5481" spans="1:6" x14ac:dyDescent="0.25">
      <c r="A5481" s="4" t="str">
        <f>CONCATENATE("3071-0000-1211","")</f>
        <v>3071-0000-1211</v>
      </c>
      <c r="B5481" s="4" t="s">
        <v>2053</v>
      </c>
      <c r="C5481" s="5">
        <v>41489</v>
      </c>
      <c r="D5481" s="5">
        <v>41549</v>
      </c>
      <c r="E5481" s="4" t="s">
        <v>1857</v>
      </c>
      <c r="F5481" s="4" t="s">
        <v>1857</v>
      </c>
    </row>
    <row r="5482" spans="1:6" x14ac:dyDescent="0.25">
      <c r="A5482" s="4" t="str">
        <f>CONCATENATE("3071-0000-1723","")</f>
        <v>3071-0000-1723</v>
      </c>
      <c r="B5482" s="4" t="s">
        <v>2349</v>
      </c>
      <c r="C5482" s="5">
        <v>41489</v>
      </c>
      <c r="D5482" s="5">
        <v>41549</v>
      </c>
      <c r="E5482" s="4" t="s">
        <v>1381</v>
      </c>
      <c r="F5482" s="4" t="s">
        <v>2319</v>
      </c>
    </row>
    <row r="5483" spans="1:6" x14ac:dyDescent="0.25">
      <c r="A5483" s="4" t="str">
        <f>CONCATENATE("3071-0000-0898","")</f>
        <v>3071-0000-0898</v>
      </c>
      <c r="B5483" s="4" t="s">
        <v>1861</v>
      </c>
      <c r="C5483" s="5">
        <v>41489</v>
      </c>
      <c r="D5483" s="5">
        <v>41549</v>
      </c>
      <c r="E5483" s="4" t="s">
        <v>1857</v>
      </c>
      <c r="F5483" s="4" t="s">
        <v>1857</v>
      </c>
    </row>
    <row r="5484" spans="1:6" x14ac:dyDescent="0.25">
      <c r="A5484" s="4" t="str">
        <f>CONCATENATE("3071-0000-8667","")</f>
        <v>3071-0000-8667</v>
      </c>
      <c r="B5484" s="4" t="s">
        <v>6404</v>
      </c>
      <c r="C5484" s="5">
        <v>41489</v>
      </c>
      <c r="D5484" s="5">
        <v>41549</v>
      </c>
      <c r="E5484" s="4" t="s">
        <v>5185</v>
      </c>
      <c r="F5484" s="4" t="s">
        <v>5292</v>
      </c>
    </row>
    <row r="5485" spans="1:6" x14ac:dyDescent="0.25">
      <c r="A5485" s="4" t="str">
        <f>CONCATENATE("3071-0000-4702","")</f>
        <v>3071-0000-4702</v>
      </c>
      <c r="B5485" s="4" t="s">
        <v>9640</v>
      </c>
      <c r="C5485" s="5">
        <v>41489</v>
      </c>
      <c r="D5485" s="5">
        <v>41549</v>
      </c>
      <c r="E5485" s="4" t="s">
        <v>1410</v>
      </c>
      <c r="F5485" s="4" t="s">
        <v>8696</v>
      </c>
    </row>
    <row r="5486" spans="1:6" x14ac:dyDescent="0.25">
      <c r="A5486" s="4" t="str">
        <f>CONCATENATE("3071-0000-8668","")</f>
        <v>3071-0000-8668</v>
      </c>
      <c r="B5486" s="4" t="s">
        <v>6395</v>
      </c>
      <c r="C5486" s="5">
        <v>41489</v>
      </c>
      <c r="D5486" s="5">
        <v>41549</v>
      </c>
      <c r="E5486" s="4" t="s">
        <v>5185</v>
      </c>
      <c r="F5486" s="4" t="s">
        <v>5292</v>
      </c>
    </row>
    <row r="5487" spans="1:6" x14ac:dyDescent="0.25">
      <c r="A5487" s="4" t="str">
        <f>CONCATENATE("3071-0000-4396","")</f>
        <v>3071-0000-4396</v>
      </c>
      <c r="B5487" s="4" t="s">
        <v>9252</v>
      </c>
      <c r="C5487" s="5">
        <v>41489</v>
      </c>
      <c r="D5487" s="5">
        <v>41549</v>
      </c>
      <c r="E5487" s="4" t="s">
        <v>1410</v>
      </c>
      <c r="F5487" s="4" t="s">
        <v>8696</v>
      </c>
    </row>
    <row r="5488" spans="1:6" x14ac:dyDescent="0.25">
      <c r="A5488" s="4" t="str">
        <f>CONCATENATE("3071-0000-3902","")</f>
        <v>3071-0000-3902</v>
      </c>
      <c r="B5488" s="4" t="s">
        <v>4123</v>
      </c>
      <c r="C5488" s="5">
        <v>41489</v>
      </c>
      <c r="D5488" s="5">
        <v>41549</v>
      </c>
      <c r="E5488" s="4" t="s">
        <v>2944</v>
      </c>
      <c r="F5488" s="4" t="s">
        <v>3513</v>
      </c>
    </row>
    <row r="5489" spans="1:6" x14ac:dyDescent="0.25">
      <c r="A5489" s="4" t="str">
        <f>CONCATENATE("3071-0000-4484","")</f>
        <v>3071-0000-4484</v>
      </c>
      <c r="B5489" s="4" t="s">
        <v>9381</v>
      </c>
      <c r="C5489" s="5">
        <v>41489</v>
      </c>
      <c r="D5489" s="5">
        <v>41549</v>
      </c>
      <c r="E5489" s="4" t="s">
        <v>1410</v>
      </c>
      <c r="F5489" s="4" t="s">
        <v>8696</v>
      </c>
    </row>
    <row r="5490" spans="1:6" x14ac:dyDescent="0.25">
      <c r="A5490" s="4" t="str">
        <f>CONCATENATE("3071-0000-0953","")</f>
        <v>3071-0000-0953</v>
      </c>
      <c r="B5490" s="4" t="s">
        <v>2159</v>
      </c>
      <c r="C5490" s="5">
        <v>41489</v>
      </c>
      <c r="D5490" s="5">
        <v>41549</v>
      </c>
      <c r="E5490" s="4" t="s">
        <v>1857</v>
      </c>
      <c r="F5490" s="4" t="s">
        <v>1857</v>
      </c>
    </row>
    <row r="5491" spans="1:6" x14ac:dyDescent="0.25">
      <c r="A5491" s="4" t="str">
        <f>CONCATENATE("3071-0000-6915","")</f>
        <v>3071-0000-6915</v>
      </c>
      <c r="B5491" s="4" t="s">
        <v>4585</v>
      </c>
      <c r="C5491" s="5">
        <v>41489</v>
      </c>
      <c r="D5491" s="5">
        <v>41549</v>
      </c>
      <c r="E5491" s="4" t="s">
        <v>1410</v>
      </c>
      <c r="F5491" s="4" t="s">
        <v>1410</v>
      </c>
    </row>
    <row r="5492" spans="1:6" x14ac:dyDescent="0.25">
      <c r="A5492" s="4" t="str">
        <f>CONCATENATE("3071-0000-5863","")</f>
        <v>3071-0000-5863</v>
      </c>
      <c r="B5492" s="4" t="s">
        <v>7381</v>
      </c>
      <c r="C5492" s="5">
        <v>41489</v>
      </c>
      <c r="D5492" s="5">
        <v>41549</v>
      </c>
      <c r="E5492" s="4" t="s">
        <v>5185</v>
      </c>
      <c r="F5492" s="4" t="s">
        <v>5185</v>
      </c>
    </row>
    <row r="5493" spans="1:6" x14ac:dyDescent="0.25">
      <c r="A5493" s="4" t="str">
        <f>CONCATENATE("3071-0000-4477","")</f>
        <v>3071-0000-4477</v>
      </c>
      <c r="B5493" s="4" t="s">
        <v>9368</v>
      </c>
      <c r="C5493" s="5">
        <v>41489</v>
      </c>
      <c r="D5493" s="5">
        <v>41549</v>
      </c>
      <c r="E5493" s="4" t="s">
        <v>1410</v>
      </c>
      <c r="F5493" s="4" t="s">
        <v>8696</v>
      </c>
    </row>
    <row r="5494" spans="1:6" x14ac:dyDescent="0.25">
      <c r="A5494" s="4" t="str">
        <f>CONCATENATE("3071-0000-4375","")</f>
        <v>3071-0000-4375</v>
      </c>
      <c r="B5494" s="4" t="s">
        <v>9222</v>
      </c>
      <c r="C5494" s="5">
        <v>41489</v>
      </c>
      <c r="D5494" s="5">
        <v>41549</v>
      </c>
      <c r="E5494" s="4" t="s">
        <v>1410</v>
      </c>
      <c r="F5494" s="4" t="s">
        <v>8696</v>
      </c>
    </row>
    <row r="5495" spans="1:6" x14ac:dyDescent="0.25">
      <c r="A5495" s="4" t="str">
        <f>CONCATENATE("3071-0000-1196","")</f>
        <v>3071-0000-1196</v>
      </c>
      <c r="B5495" s="4" t="s">
        <v>2197</v>
      </c>
      <c r="C5495" s="5">
        <v>41489</v>
      </c>
      <c r="D5495" s="5">
        <v>41549</v>
      </c>
      <c r="E5495" s="4" t="s">
        <v>1857</v>
      </c>
      <c r="F5495" s="4" t="s">
        <v>2108</v>
      </c>
    </row>
    <row r="5496" spans="1:6" x14ac:dyDescent="0.25">
      <c r="A5496" s="4" t="str">
        <f>CONCATENATE("3071-0000-8531","")</f>
        <v>3071-0000-8531</v>
      </c>
      <c r="B5496" s="4" t="s">
        <v>6126</v>
      </c>
      <c r="C5496" s="5">
        <v>41489</v>
      </c>
      <c r="D5496" s="5">
        <v>41549</v>
      </c>
      <c r="E5496" s="4" t="s">
        <v>5185</v>
      </c>
      <c r="F5496" s="4" t="s">
        <v>5945</v>
      </c>
    </row>
    <row r="5497" spans="1:6" x14ac:dyDescent="0.25">
      <c r="A5497" s="4" t="str">
        <f>CONCATENATE("3071-0000-4971","")</f>
        <v>3071-0000-4971</v>
      </c>
      <c r="B5497" s="4" t="s">
        <v>9374</v>
      </c>
      <c r="C5497" s="5">
        <v>41489</v>
      </c>
      <c r="D5497" s="5">
        <v>41549</v>
      </c>
      <c r="E5497" s="4" t="s">
        <v>7069</v>
      </c>
      <c r="F5497" s="4" t="s">
        <v>9210</v>
      </c>
    </row>
    <row r="5498" spans="1:6" x14ac:dyDescent="0.25">
      <c r="A5498" s="4" t="str">
        <f>CONCATENATE("3071-0000-4370","")</f>
        <v>3071-0000-4370</v>
      </c>
      <c r="B5498" s="4" t="s">
        <v>9211</v>
      </c>
      <c r="C5498" s="5">
        <v>41489</v>
      </c>
      <c r="D5498" s="5">
        <v>41549</v>
      </c>
      <c r="E5498" s="4" t="s">
        <v>1410</v>
      </c>
      <c r="F5498" s="4" t="s">
        <v>8696</v>
      </c>
    </row>
    <row r="5499" spans="1:6" x14ac:dyDescent="0.25">
      <c r="A5499" s="4" t="str">
        <f>CONCATENATE("3071-0000-4520","")</f>
        <v>3071-0000-4520</v>
      </c>
      <c r="B5499" s="4" t="s">
        <v>9530</v>
      </c>
      <c r="C5499" s="5">
        <v>41489</v>
      </c>
      <c r="D5499" s="5">
        <v>41549</v>
      </c>
      <c r="E5499" s="4" t="s">
        <v>1410</v>
      </c>
      <c r="F5499" s="4" t="s">
        <v>8696</v>
      </c>
    </row>
    <row r="5500" spans="1:6" x14ac:dyDescent="0.25">
      <c r="A5500" s="4" t="str">
        <f>CONCATENATE("3071-0000-5056","")</f>
        <v>3071-0000-5056</v>
      </c>
      <c r="B5500" s="4" t="s">
        <v>9592</v>
      </c>
      <c r="C5500" s="5">
        <v>41489</v>
      </c>
      <c r="D5500" s="5">
        <v>41549</v>
      </c>
      <c r="E5500" s="4" t="s">
        <v>7069</v>
      </c>
      <c r="F5500" s="4" t="s">
        <v>9485</v>
      </c>
    </row>
    <row r="5501" spans="1:6" x14ac:dyDescent="0.25">
      <c r="A5501" s="4" t="str">
        <f>CONCATENATE("3071-0000-9401","")</f>
        <v>3071-0000-9401</v>
      </c>
      <c r="B5501" s="4" t="s">
        <v>8493</v>
      </c>
      <c r="C5501" s="5">
        <v>41489</v>
      </c>
      <c r="D5501" s="5">
        <v>41549</v>
      </c>
      <c r="E5501" s="4" t="s">
        <v>1410</v>
      </c>
      <c r="F5501" s="4" t="s">
        <v>4459</v>
      </c>
    </row>
    <row r="5502" spans="1:6" x14ac:dyDescent="0.25">
      <c r="A5502" s="4" t="str">
        <f>CONCATENATE("3071-0000-4232","")</f>
        <v>3071-0000-4232</v>
      </c>
      <c r="B5502" s="4" t="s">
        <v>8725</v>
      </c>
      <c r="C5502" s="5">
        <v>41489</v>
      </c>
      <c r="D5502" s="5">
        <v>41549</v>
      </c>
      <c r="E5502" s="4" t="s">
        <v>1410</v>
      </c>
      <c r="F5502" s="4" t="s">
        <v>8696</v>
      </c>
    </row>
    <row r="5503" spans="1:6" x14ac:dyDescent="0.25">
      <c r="A5503" s="4" t="str">
        <f>CONCATENATE("3071-0000-2187","")</f>
        <v>3071-0000-2187</v>
      </c>
      <c r="B5503" s="4" t="s">
        <v>3675</v>
      </c>
      <c r="C5503" s="5">
        <v>41489</v>
      </c>
      <c r="D5503" s="5">
        <v>41549</v>
      </c>
      <c r="E5503" s="4" t="s">
        <v>2944</v>
      </c>
      <c r="F5503" s="4" t="s">
        <v>2945</v>
      </c>
    </row>
    <row r="5504" spans="1:6" x14ac:dyDescent="0.25">
      <c r="A5504" s="4" t="str">
        <f>CONCATENATE("3071-0000-6843","")</f>
        <v>3071-0000-6843</v>
      </c>
      <c r="B5504" s="4" t="s">
        <v>7787</v>
      </c>
      <c r="C5504" s="5">
        <v>41489</v>
      </c>
      <c r="D5504" s="5">
        <v>41549</v>
      </c>
      <c r="E5504" s="4" t="s">
        <v>1410</v>
      </c>
      <c r="F5504" s="4" t="s">
        <v>4655</v>
      </c>
    </row>
    <row r="5505" spans="1:6" x14ac:dyDescent="0.25">
      <c r="A5505" s="4" t="str">
        <f>CONCATENATE("3071-0000-0086","")</f>
        <v>3071-0000-0086</v>
      </c>
      <c r="B5505" s="4" t="s">
        <v>157</v>
      </c>
      <c r="C5505" s="5">
        <v>41489</v>
      </c>
      <c r="D5505" s="5">
        <v>41549</v>
      </c>
      <c r="E5505" s="4" t="s">
        <v>7</v>
      </c>
      <c r="F5505" s="4" t="s">
        <v>7</v>
      </c>
    </row>
    <row r="5506" spans="1:6" x14ac:dyDescent="0.25">
      <c r="A5506" s="4" t="str">
        <f>CONCATENATE("3071-0000-0817","")</f>
        <v>3071-0000-0817</v>
      </c>
      <c r="B5506" s="4" t="s">
        <v>1877</v>
      </c>
      <c r="C5506" s="5">
        <v>41489</v>
      </c>
      <c r="D5506" s="5">
        <v>41549</v>
      </c>
      <c r="E5506" s="4" t="s">
        <v>1857</v>
      </c>
      <c r="F5506" s="4" t="s">
        <v>1857</v>
      </c>
    </row>
    <row r="5507" spans="1:6" x14ac:dyDescent="0.25">
      <c r="A5507" s="4" t="str">
        <f>CONCATENATE("3071-0000-1162","")</f>
        <v>3071-0000-1162</v>
      </c>
      <c r="B5507" s="4" t="s">
        <v>2020</v>
      </c>
      <c r="C5507" s="5">
        <v>41489</v>
      </c>
      <c r="D5507" s="5">
        <v>41549</v>
      </c>
      <c r="E5507" s="4" t="s">
        <v>1857</v>
      </c>
      <c r="F5507" s="4" t="s">
        <v>1857</v>
      </c>
    </row>
    <row r="5508" spans="1:6" x14ac:dyDescent="0.25">
      <c r="A5508" s="4" t="str">
        <f>CONCATENATE("3071-0000-7314","")</f>
        <v>3071-0000-7314</v>
      </c>
      <c r="B5508" s="4" t="s">
        <v>4673</v>
      </c>
      <c r="C5508" s="5">
        <v>41489</v>
      </c>
      <c r="D5508" s="5">
        <v>41549</v>
      </c>
      <c r="E5508" s="4" t="s">
        <v>1410</v>
      </c>
      <c r="F5508" s="4" t="s">
        <v>1410</v>
      </c>
    </row>
    <row r="5509" spans="1:6" x14ac:dyDescent="0.25">
      <c r="A5509" s="4" t="str">
        <f>CONCATENATE("3071-0000-7171","")</f>
        <v>3071-0000-7171</v>
      </c>
      <c r="B5509" s="4" t="s">
        <v>5064</v>
      </c>
      <c r="C5509" s="5">
        <v>41489</v>
      </c>
      <c r="D5509" s="5">
        <v>41549</v>
      </c>
      <c r="E5509" s="4" t="s">
        <v>1410</v>
      </c>
      <c r="F5509" s="4" t="s">
        <v>1410</v>
      </c>
    </row>
    <row r="5510" spans="1:6" x14ac:dyDescent="0.25">
      <c r="A5510" s="4" t="str">
        <f>CONCATENATE("3071-0000-0983","")</f>
        <v>3071-0000-0983</v>
      </c>
      <c r="B5510" s="4" t="s">
        <v>2195</v>
      </c>
      <c r="C5510" s="5">
        <v>41489</v>
      </c>
      <c r="D5510" s="5">
        <v>41549</v>
      </c>
      <c r="E5510" s="4" t="s">
        <v>1857</v>
      </c>
      <c r="F5510" s="4" t="s">
        <v>1857</v>
      </c>
    </row>
    <row r="5511" spans="1:6" x14ac:dyDescent="0.25">
      <c r="A5511" s="4" t="str">
        <f>CONCATENATE("3071-0000-5966","")</f>
        <v>3071-0000-5966</v>
      </c>
      <c r="B5511" s="4" t="s">
        <v>7407</v>
      </c>
      <c r="C5511" s="5">
        <v>41489</v>
      </c>
      <c r="D5511" s="5">
        <v>41549</v>
      </c>
      <c r="E5511" s="4" t="s">
        <v>5185</v>
      </c>
      <c r="F5511" s="4" t="s">
        <v>5185</v>
      </c>
    </row>
    <row r="5512" spans="1:6" x14ac:dyDescent="0.25">
      <c r="A5512" s="4" t="str">
        <f>CONCATENATE("3071-0000-0527","")</f>
        <v>3071-0000-0527</v>
      </c>
      <c r="B5512" s="4" t="s">
        <v>654</v>
      </c>
      <c r="C5512" s="5">
        <v>41489</v>
      </c>
      <c r="D5512" s="5">
        <v>41549</v>
      </c>
      <c r="E5512" s="4" t="s">
        <v>7</v>
      </c>
      <c r="F5512" s="4" t="s">
        <v>7</v>
      </c>
    </row>
    <row r="5513" spans="1:6" x14ac:dyDescent="0.25">
      <c r="A5513" s="4" t="str">
        <f>CONCATENATE("3071-0000-8847","")</f>
        <v>3071-0000-8847</v>
      </c>
      <c r="B5513" s="4" t="s">
        <v>5550</v>
      </c>
      <c r="C5513" s="5">
        <v>41489</v>
      </c>
      <c r="D5513" s="5">
        <v>41549</v>
      </c>
      <c r="E5513" s="4" t="s">
        <v>5185</v>
      </c>
      <c r="F5513" s="4" t="s">
        <v>5250</v>
      </c>
    </row>
    <row r="5514" spans="1:6" x14ac:dyDescent="0.25">
      <c r="A5514" s="4" t="str">
        <f>CONCATENATE("3071-0000-8386","")</f>
        <v>3071-0000-8386</v>
      </c>
      <c r="B5514" s="4" t="s">
        <v>5802</v>
      </c>
      <c r="C5514" s="5">
        <v>41489</v>
      </c>
      <c r="D5514" s="5">
        <v>41549</v>
      </c>
      <c r="E5514" s="4" t="s">
        <v>5185</v>
      </c>
      <c r="F5514" s="4" t="s">
        <v>5185</v>
      </c>
    </row>
    <row r="5515" spans="1:6" x14ac:dyDescent="0.25">
      <c r="A5515" s="4" t="str">
        <f>CONCATENATE("3071-0000-3138","")</f>
        <v>3071-0000-3138</v>
      </c>
      <c r="B5515" s="4" t="s">
        <v>1275</v>
      </c>
      <c r="C5515" s="5">
        <v>41489</v>
      </c>
      <c r="D5515" s="5">
        <v>41549</v>
      </c>
      <c r="E5515" s="4" t="s">
        <v>7</v>
      </c>
      <c r="F5515" s="4" t="s">
        <v>808</v>
      </c>
    </row>
    <row r="5516" spans="1:6" x14ac:dyDescent="0.25">
      <c r="A5516" s="4" t="str">
        <f>CONCATENATE("3071-0000-0633","")</f>
        <v>3071-0000-0633</v>
      </c>
      <c r="B5516" s="4" t="s">
        <v>420</v>
      </c>
      <c r="C5516" s="5">
        <v>41489</v>
      </c>
      <c r="D5516" s="5">
        <v>41549</v>
      </c>
      <c r="E5516" s="4" t="s">
        <v>7</v>
      </c>
      <c r="F5516" s="4" t="s">
        <v>7</v>
      </c>
    </row>
    <row r="5517" spans="1:6" x14ac:dyDescent="0.25">
      <c r="A5517" s="4" t="str">
        <f>CONCATENATE("3071-0000-8727","")</f>
        <v>3071-0000-8727</v>
      </c>
      <c r="B5517" s="4" t="s">
        <v>6534</v>
      </c>
      <c r="C5517" s="5">
        <v>41489</v>
      </c>
      <c r="D5517" s="5">
        <v>41549</v>
      </c>
      <c r="E5517" s="4" t="s">
        <v>5185</v>
      </c>
      <c r="F5517" s="4" t="s">
        <v>5292</v>
      </c>
    </row>
    <row r="5518" spans="1:6" x14ac:dyDescent="0.25">
      <c r="A5518" s="4" t="str">
        <f>CONCATENATE("3071-0000-8659","")</f>
        <v>3071-0000-8659</v>
      </c>
      <c r="B5518" s="4" t="s">
        <v>6449</v>
      </c>
      <c r="C5518" s="5">
        <v>41489</v>
      </c>
      <c r="D5518" s="5">
        <v>41549</v>
      </c>
      <c r="E5518" s="4" t="s">
        <v>5185</v>
      </c>
      <c r="F5518" s="4" t="s">
        <v>5292</v>
      </c>
    </row>
    <row r="5519" spans="1:6" x14ac:dyDescent="0.25">
      <c r="A5519" s="4" t="str">
        <f>CONCATENATE("3071-0000-8547","")</f>
        <v>3071-0000-8547</v>
      </c>
      <c r="B5519" s="4" t="s">
        <v>6081</v>
      </c>
      <c r="C5519" s="5">
        <v>41489</v>
      </c>
      <c r="D5519" s="5">
        <v>41549</v>
      </c>
      <c r="E5519" s="4" t="s">
        <v>5185</v>
      </c>
      <c r="F5519" s="4" t="s">
        <v>5945</v>
      </c>
    </row>
    <row r="5520" spans="1:6" x14ac:dyDescent="0.25">
      <c r="A5520" s="4" t="str">
        <f>CONCATENATE("3071-0000-8552","")</f>
        <v>3071-0000-8552</v>
      </c>
      <c r="B5520" s="4" t="s">
        <v>6127</v>
      </c>
      <c r="C5520" s="5">
        <v>41489</v>
      </c>
      <c r="D5520" s="5">
        <v>41549</v>
      </c>
      <c r="E5520" s="4" t="s">
        <v>5185</v>
      </c>
      <c r="F5520" s="4" t="s">
        <v>5945</v>
      </c>
    </row>
    <row r="5521" spans="1:6" x14ac:dyDescent="0.25">
      <c r="A5521" s="4" t="str">
        <f>CONCATENATE("3071-0000-4435","")</f>
        <v>3071-0000-4435</v>
      </c>
      <c r="B5521" s="4" t="s">
        <v>9306</v>
      </c>
      <c r="C5521" s="5">
        <v>41489</v>
      </c>
      <c r="D5521" s="5">
        <v>41549</v>
      </c>
      <c r="E5521" s="4" t="s">
        <v>1410</v>
      </c>
      <c r="F5521" s="4" t="s">
        <v>8696</v>
      </c>
    </row>
    <row r="5522" spans="1:6" x14ac:dyDescent="0.25">
      <c r="A5522" s="4" t="str">
        <f>CONCATENATE("3071-0000-8216","")</f>
        <v>3071-0000-8216</v>
      </c>
      <c r="B5522" s="4" t="s">
        <v>5609</v>
      </c>
      <c r="C5522" s="5">
        <v>41489</v>
      </c>
      <c r="D5522" s="5">
        <v>41549</v>
      </c>
      <c r="E5522" s="4" t="s">
        <v>5185</v>
      </c>
      <c r="F5522" s="4" t="s">
        <v>5185</v>
      </c>
    </row>
    <row r="5523" spans="1:6" x14ac:dyDescent="0.25">
      <c r="A5523" s="4" t="str">
        <f>CONCATENATE("3071-0000-4553","")</f>
        <v>3071-0000-4553</v>
      </c>
      <c r="B5523" s="4" t="s">
        <v>9079</v>
      </c>
      <c r="C5523" s="5">
        <v>41489</v>
      </c>
      <c r="D5523" s="5">
        <v>41549</v>
      </c>
      <c r="E5523" s="4" t="s">
        <v>1410</v>
      </c>
      <c r="F5523" s="4" t="s">
        <v>8696</v>
      </c>
    </row>
    <row r="5524" spans="1:6" x14ac:dyDescent="0.25">
      <c r="A5524" s="4" t="str">
        <f>CONCATENATE("3071-0000-6840","")</f>
        <v>3071-0000-6840</v>
      </c>
      <c r="B5524" s="4" t="s">
        <v>7783</v>
      </c>
      <c r="C5524" s="5">
        <v>41489</v>
      </c>
      <c r="D5524" s="5">
        <v>41549</v>
      </c>
      <c r="E5524" s="4" t="s">
        <v>1410</v>
      </c>
      <c r="F5524" s="4" t="s">
        <v>4655</v>
      </c>
    </row>
    <row r="5525" spans="1:6" x14ac:dyDescent="0.25">
      <c r="A5525" s="4" t="str">
        <f>CONCATENATE("3071-0000-0864","")</f>
        <v>3071-0000-0864</v>
      </c>
      <c r="B5525" s="4" t="s">
        <v>1961</v>
      </c>
      <c r="C5525" s="5">
        <v>41489</v>
      </c>
      <c r="D5525" s="5">
        <v>41549</v>
      </c>
      <c r="E5525" s="4" t="s">
        <v>1857</v>
      </c>
      <c r="F5525" s="4" t="s">
        <v>1857</v>
      </c>
    </row>
    <row r="5526" spans="1:6" x14ac:dyDescent="0.25">
      <c r="A5526" s="4" t="str">
        <f>CONCATENATE("3071-0000-0190","")</f>
        <v>3071-0000-0190</v>
      </c>
      <c r="B5526" s="4" t="s">
        <v>416</v>
      </c>
      <c r="C5526" s="5">
        <v>41489</v>
      </c>
      <c r="D5526" s="5">
        <v>41549</v>
      </c>
      <c r="E5526" s="4" t="s">
        <v>7</v>
      </c>
      <c r="F5526" s="4" t="s">
        <v>7</v>
      </c>
    </row>
    <row r="5527" spans="1:6" x14ac:dyDescent="0.25">
      <c r="A5527" s="4" t="str">
        <f>CONCATENATE("3071-0000-9179","")</f>
        <v>3071-0000-9179</v>
      </c>
      <c r="B5527" s="4" t="s">
        <v>5954</v>
      </c>
      <c r="C5527" s="5">
        <v>41489</v>
      </c>
      <c r="D5527" s="5">
        <v>41549</v>
      </c>
      <c r="E5527" s="4" t="s">
        <v>5185</v>
      </c>
      <c r="F5527" s="4" t="s">
        <v>5945</v>
      </c>
    </row>
    <row r="5528" spans="1:6" x14ac:dyDescent="0.25">
      <c r="A5528" s="4" t="str">
        <f>CONCATENATE("3071-0000-1959","")</f>
        <v>3071-0000-1959</v>
      </c>
      <c r="B5528" s="4" t="s">
        <v>3070</v>
      </c>
      <c r="C5528" s="5">
        <v>41489</v>
      </c>
      <c r="D5528" s="5">
        <v>41549</v>
      </c>
      <c r="E5528" s="4" t="s">
        <v>2944</v>
      </c>
      <c r="F5528" s="4" t="s">
        <v>2945</v>
      </c>
    </row>
    <row r="5529" spans="1:6" x14ac:dyDescent="0.25">
      <c r="A5529" s="4" t="str">
        <f>CONCATENATE("3071-0000-2728","")</f>
        <v>3071-0000-2728</v>
      </c>
      <c r="B5529" s="4" t="s">
        <v>3051</v>
      </c>
      <c r="C5529" s="5">
        <v>41489</v>
      </c>
      <c r="D5529" s="5">
        <v>41549</v>
      </c>
      <c r="E5529" s="4" t="s">
        <v>2944</v>
      </c>
      <c r="F5529" s="4" t="s">
        <v>2945</v>
      </c>
    </row>
    <row r="5530" spans="1:6" x14ac:dyDescent="0.25">
      <c r="A5530" s="4" t="str">
        <f>CONCATENATE("3071-0000-1337","")</f>
        <v>3071-0000-1337</v>
      </c>
      <c r="B5530" s="4" t="s">
        <v>2469</v>
      </c>
      <c r="C5530" s="5">
        <v>41489</v>
      </c>
      <c r="D5530" s="5">
        <v>41549</v>
      </c>
      <c r="E5530" s="4" t="s">
        <v>1381</v>
      </c>
      <c r="F5530" s="4" t="s">
        <v>2303</v>
      </c>
    </row>
    <row r="5531" spans="1:6" x14ac:dyDescent="0.25">
      <c r="A5531" s="4" t="str">
        <f>CONCATENATE("3071-0000-0940","")</f>
        <v>3071-0000-0940</v>
      </c>
      <c r="B5531" s="4" t="s">
        <v>2102</v>
      </c>
      <c r="C5531" s="5">
        <v>41489</v>
      </c>
      <c r="D5531" s="5">
        <v>41549</v>
      </c>
      <c r="E5531" s="4" t="s">
        <v>1857</v>
      </c>
      <c r="F5531" s="4" t="s">
        <v>1857</v>
      </c>
    </row>
    <row r="5532" spans="1:6" x14ac:dyDescent="0.25">
      <c r="A5532" s="4" t="str">
        <f>CONCATENATE("3071-0000-1054","")</f>
        <v>3071-0000-1054</v>
      </c>
      <c r="B5532" s="4" t="s">
        <v>2136</v>
      </c>
      <c r="C5532" s="5">
        <v>41489</v>
      </c>
      <c r="D5532" s="5">
        <v>41549</v>
      </c>
      <c r="E5532" s="4" t="s">
        <v>1857</v>
      </c>
      <c r="F5532" s="4" t="s">
        <v>1857</v>
      </c>
    </row>
    <row r="5533" spans="1:6" x14ac:dyDescent="0.25">
      <c r="A5533" s="4" t="str">
        <f>CONCATENATE("3071-0000-5449","")</f>
        <v>3071-0000-5449</v>
      </c>
      <c r="B5533" s="4" t="s">
        <v>6687</v>
      </c>
      <c r="C5533" s="5">
        <v>41489</v>
      </c>
      <c r="D5533" s="5">
        <v>41549</v>
      </c>
      <c r="E5533" s="4" t="s">
        <v>1410</v>
      </c>
      <c r="F5533" s="4" t="s">
        <v>6635</v>
      </c>
    </row>
    <row r="5534" spans="1:6" x14ac:dyDescent="0.25">
      <c r="A5534" s="4" t="str">
        <f>CONCATENATE("3071-0000-5231","")</f>
        <v>3071-0000-5231</v>
      </c>
      <c r="B5534" s="4" t="s">
        <v>6683</v>
      </c>
      <c r="C5534" s="5">
        <v>41489</v>
      </c>
      <c r="D5534" s="5">
        <v>41549</v>
      </c>
      <c r="E5534" s="4" t="s">
        <v>5185</v>
      </c>
      <c r="F5534" s="4" t="s">
        <v>5185</v>
      </c>
    </row>
    <row r="5535" spans="1:6" x14ac:dyDescent="0.25">
      <c r="A5535" s="4" t="str">
        <f>CONCATENATE("3071-0000-5887","")</f>
        <v>3071-0000-5887</v>
      </c>
      <c r="B5535" s="4" t="s">
        <v>7570</v>
      </c>
      <c r="C5535" s="5">
        <v>41489</v>
      </c>
      <c r="D5535" s="5">
        <v>41549</v>
      </c>
      <c r="E5535" s="4" t="s">
        <v>5185</v>
      </c>
      <c r="F5535" s="4" t="s">
        <v>5185</v>
      </c>
    </row>
    <row r="5536" spans="1:6" x14ac:dyDescent="0.25">
      <c r="A5536" s="4" t="str">
        <f>CONCATENATE("3071-0000-1593","")</f>
        <v>3071-0000-1593</v>
      </c>
      <c r="B5536" s="4" t="s">
        <v>2852</v>
      </c>
      <c r="C5536" s="5">
        <v>41489</v>
      </c>
      <c r="D5536" s="5">
        <v>41549</v>
      </c>
      <c r="E5536" s="4" t="s">
        <v>1381</v>
      </c>
      <c r="F5536" s="4" t="s">
        <v>2303</v>
      </c>
    </row>
    <row r="5537" spans="1:6" x14ac:dyDescent="0.25">
      <c r="A5537" s="4" t="str">
        <f>CONCATENATE("3071-0000-6094","")</f>
        <v>3071-0000-6094</v>
      </c>
      <c r="B5537" s="4" t="s">
        <v>7700</v>
      </c>
      <c r="C5537" s="5">
        <v>41489</v>
      </c>
      <c r="D5537" s="5">
        <v>41549</v>
      </c>
      <c r="E5537" s="4" t="s">
        <v>1410</v>
      </c>
      <c r="F5537" s="4" t="s">
        <v>1410</v>
      </c>
    </row>
    <row r="5538" spans="1:6" x14ac:dyDescent="0.25">
      <c r="A5538" s="4" t="str">
        <f>CONCATENATE("3071-0000-6239","")</f>
        <v>3071-0000-6239</v>
      </c>
      <c r="B5538" s="4" t="s">
        <v>7668</v>
      </c>
      <c r="C5538" s="5">
        <v>41489</v>
      </c>
      <c r="D5538" s="5">
        <v>41549</v>
      </c>
      <c r="E5538" s="4" t="s">
        <v>1410</v>
      </c>
      <c r="F5538" s="4" t="s">
        <v>1410</v>
      </c>
    </row>
    <row r="5539" spans="1:6" x14ac:dyDescent="0.25">
      <c r="A5539" s="4" t="str">
        <f>CONCATENATE("3071-0000-6241","")</f>
        <v>3071-0000-6241</v>
      </c>
      <c r="B5539" s="4" t="s">
        <v>7669</v>
      </c>
      <c r="C5539" s="5">
        <v>41489</v>
      </c>
      <c r="D5539" s="5">
        <v>41549</v>
      </c>
      <c r="E5539" s="4" t="s">
        <v>1410</v>
      </c>
      <c r="F5539" s="4" t="s">
        <v>1410</v>
      </c>
    </row>
    <row r="5540" spans="1:6" x14ac:dyDescent="0.25">
      <c r="A5540" s="4" t="str">
        <f>CONCATENATE("3071-0000-6068","")</f>
        <v>3071-0000-6068</v>
      </c>
      <c r="B5540" s="4" t="s">
        <v>7633</v>
      </c>
      <c r="C5540" s="5">
        <v>41489</v>
      </c>
      <c r="D5540" s="5">
        <v>41549</v>
      </c>
      <c r="E5540" s="4" t="s">
        <v>1410</v>
      </c>
      <c r="F5540" s="4" t="s">
        <v>1410</v>
      </c>
    </row>
    <row r="5541" spans="1:6" x14ac:dyDescent="0.25">
      <c r="A5541" s="4" t="str">
        <f>CONCATENATE("3071-0000-6322","")</f>
        <v>3071-0000-6322</v>
      </c>
      <c r="B5541" s="4" t="s">
        <v>7487</v>
      </c>
      <c r="C5541" s="5">
        <v>41489</v>
      </c>
      <c r="D5541" s="5">
        <v>41549</v>
      </c>
      <c r="E5541" s="4" t="s">
        <v>1410</v>
      </c>
      <c r="F5541" s="4" t="s">
        <v>1410</v>
      </c>
    </row>
    <row r="5542" spans="1:6" x14ac:dyDescent="0.25">
      <c r="A5542" s="4" t="str">
        <f>CONCATENATE("3071-0000-7008","")</f>
        <v>3071-0000-7008</v>
      </c>
      <c r="B5542" s="4" t="s">
        <v>4645</v>
      </c>
      <c r="C5542" s="5">
        <v>41489</v>
      </c>
      <c r="D5542" s="5">
        <v>41549</v>
      </c>
      <c r="E5542" s="4" t="s">
        <v>1410</v>
      </c>
      <c r="F5542" s="4" t="s">
        <v>1410</v>
      </c>
    </row>
    <row r="5543" spans="1:6" x14ac:dyDescent="0.25">
      <c r="A5543" s="4" t="str">
        <f>CONCATENATE("3071-0000-6073","")</f>
        <v>3071-0000-6073</v>
      </c>
      <c r="B5543" s="4" t="s">
        <v>7629</v>
      </c>
      <c r="C5543" s="5">
        <v>41489</v>
      </c>
      <c r="D5543" s="5">
        <v>41549</v>
      </c>
      <c r="E5543" s="4" t="s">
        <v>1410</v>
      </c>
      <c r="F5543" s="4" t="s">
        <v>1410</v>
      </c>
    </row>
    <row r="5544" spans="1:6" x14ac:dyDescent="0.25">
      <c r="A5544" s="4" t="str">
        <f>CONCATENATE("3071-0000-1008","")</f>
        <v>3071-0000-1008</v>
      </c>
      <c r="B5544" s="4" t="s">
        <v>2228</v>
      </c>
      <c r="C5544" s="5">
        <v>41489</v>
      </c>
      <c r="D5544" s="5">
        <v>41549</v>
      </c>
      <c r="E5544" s="4" t="s">
        <v>1857</v>
      </c>
      <c r="F5544" s="4" t="s">
        <v>1857</v>
      </c>
    </row>
    <row r="5545" spans="1:6" x14ac:dyDescent="0.25">
      <c r="A5545" s="4" t="str">
        <f>CONCATENATE("3071-0000-1058","")</f>
        <v>3071-0000-1058</v>
      </c>
      <c r="B5545" s="4" t="s">
        <v>2244</v>
      </c>
      <c r="C5545" s="5">
        <v>41489</v>
      </c>
      <c r="D5545" s="5">
        <v>41549</v>
      </c>
      <c r="E5545" s="4" t="s">
        <v>1857</v>
      </c>
      <c r="F5545" s="4" t="s">
        <v>1857</v>
      </c>
    </row>
    <row r="5546" spans="1:6" x14ac:dyDescent="0.25">
      <c r="A5546" s="4" t="str">
        <f>CONCATENATE("3071-0000-7393","")</f>
        <v>3071-0000-7393</v>
      </c>
      <c r="B5546" s="4" t="s">
        <v>4735</v>
      </c>
      <c r="C5546" s="5">
        <v>41489</v>
      </c>
      <c r="D5546" s="5">
        <v>41549</v>
      </c>
      <c r="E5546" s="4" t="s">
        <v>1410</v>
      </c>
      <c r="F5546" s="4" t="s">
        <v>1410</v>
      </c>
    </row>
    <row r="5547" spans="1:6" x14ac:dyDescent="0.25">
      <c r="A5547" s="4" t="str">
        <f>CONCATENATE("3071-0000-6173","")</f>
        <v>3071-0000-6173</v>
      </c>
      <c r="B5547" s="4" t="s">
        <v>7689</v>
      </c>
      <c r="C5547" s="5">
        <v>41489</v>
      </c>
      <c r="D5547" s="5">
        <v>41549</v>
      </c>
      <c r="E5547" s="4" t="s">
        <v>1410</v>
      </c>
      <c r="F5547" s="4" t="s">
        <v>1410</v>
      </c>
    </row>
    <row r="5548" spans="1:6" x14ac:dyDescent="0.25">
      <c r="A5548" s="4" t="str">
        <f>CONCATENATE("3071-0000-6197","")</f>
        <v>3071-0000-6197</v>
      </c>
      <c r="B5548" s="4" t="s">
        <v>7663</v>
      </c>
      <c r="C5548" s="5">
        <v>41489</v>
      </c>
      <c r="D5548" s="5">
        <v>41549</v>
      </c>
      <c r="E5548" s="4" t="s">
        <v>1410</v>
      </c>
      <c r="F5548" s="4" t="s">
        <v>1410</v>
      </c>
    </row>
    <row r="5549" spans="1:6" x14ac:dyDescent="0.25">
      <c r="A5549" s="4" t="str">
        <f>CONCATENATE("3071-0000-6117","")</f>
        <v>3071-0000-6117</v>
      </c>
      <c r="B5549" s="4" t="s">
        <v>7650</v>
      </c>
      <c r="C5549" s="5">
        <v>41489</v>
      </c>
      <c r="D5549" s="5">
        <v>41549</v>
      </c>
      <c r="E5549" s="4" t="s">
        <v>1410</v>
      </c>
      <c r="F5549" s="4" t="s">
        <v>1410</v>
      </c>
    </row>
    <row r="5550" spans="1:6" x14ac:dyDescent="0.25">
      <c r="A5550" s="4" t="str">
        <f>CONCATENATE("3071-0000-6129","")</f>
        <v>3071-0000-6129</v>
      </c>
      <c r="B5550" s="4" t="s">
        <v>7652</v>
      </c>
      <c r="C5550" s="5">
        <v>41489</v>
      </c>
      <c r="D5550" s="5">
        <v>41549</v>
      </c>
      <c r="E5550" s="4" t="s">
        <v>1410</v>
      </c>
      <c r="F5550" s="4" t="s">
        <v>1410</v>
      </c>
    </row>
    <row r="5551" spans="1:6" x14ac:dyDescent="0.25">
      <c r="A5551" s="4" t="str">
        <f>CONCATENATE("3071-0000-0334","")</f>
        <v>3071-0000-0334</v>
      </c>
      <c r="B5551" s="4" t="s">
        <v>19</v>
      </c>
      <c r="C5551" s="5">
        <v>41489</v>
      </c>
      <c r="D5551" s="5">
        <v>41549</v>
      </c>
      <c r="E5551" s="4" t="s">
        <v>7</v>
      </c>
      <c r="F5551" s="4" t="s">
        <v>7</v>
      </c>
    </row>
    <row r="5552" spans="1:6" x14ac:dyDescent="0.25">
      <c r="A5552" s="4" t="str">
        <f>CONCATENATE("3071-0000-6052","")</f>
        <v>3071-0000-6052</v>
      </c>
      <c r="B5552" s="4" t="s">
        <v>7466</v>
      </c>
      <c r="C5552" s="5">
        <v>41489</v>
      </c>
      <c r="D5552" s="5">
        <v>41549</v>
      </c>
      <c r="E5552" s="4" t="s">
        <v>1410</v>
      </c>
      <c r="F5552" s="4" t="s">
        <v>1410</v>
      </c>
    </row>
    <row r="5553" spans="1:6" x14ac:dyDescent="0.25">
      <c r="A5553" s="4" t="str">
        <f>CONCATENATE("3071-0000-6118","")</f>
        <v>3071-0000-6118</v>
      </c>
      <c r="B5553" s="4" t="s">
        <v>7641</v>
      </c>
      <c r="C5553" s="5">
        <v>41489</v>
      </c>
      <c r="D5553" s="5">
        <v>41549</v>
      </c>
      <c r="E5553" s="4" t="s">
        <v>1410</v>
      </c>
      <c r="F5553" s="4" t="s">
        <v>1410</v>
      </c>
    </row>
    <row r="5554" spans="1:6" x14ac:dyDescent="0.25">
      <c r="A5554" s="4" t="str">
        <f>CONCATENATE("3071-0000-7379","")</f>
        <v>3071-0000-7379</v>
      </c>
      <c r="B5554" s="4" t="s">
        <v>4441</v>
      </c>
      <c r="C5554" s="5">
        <v>41489</v>
      </c>
      <c r="D5554" s="5">
        <v>41549</v>
      </c>
      <c r="E5554" s="4" t="s">
        <v>1410</v>
      </c>
      <c r="F5554" s="4" t="s">
        <v>1410</v>
      </c>
    </row>
    <row r="5555" spans="1:6" x14ac:dyDescent="0.25">
      <c r="A5555" s="4" t="str">
        <f>CONCATENATE("3071-0000-5927","")</f>
        <v>3071-0000-5927</v>
      </c>
      <c r="B5555" s="4" t="s">
        <v>7471</v>
      </c>
      <c r="C5555" s="5">
        <v>41489</v>
      </c>
      <c r="D5555" s="5">
        <v>41549</v>
      </c>
      <c r="E5555" s="4" t="s">
        <v>5185</v>
      </c>
      <c r="F5555" s="4" t="s">
        <v>5185</v>
      </c>
    </row>
    <row r="5556" spans="1:6" x14ac:dyDescent="0.25">
      <c r="A5556" s="4" t="str">
        <f>CONCATENATE("3071-0000-6139","")</f>
        <v>3071-0000-6139</v>
      </c>
      <c r="B5556" s="4" t="s">
        <v>7659</v>
      </c>
      <c r="C5556" s="5">
        <v>41489</v>
      </c>
      <c r="D5556" s="5">
        <v>41549</v>
      </c>
      <c r="E5556" s="4" t="s">
        <v>1410</v>
      </c>
      <c r="F5556" s="4" t="s">
        <v>1410</v>
      </c>
    </row>
    <row r="5557" spans="1:6" x14ac:dyDescent="0.25">
      <c r="A5557" s="4" t="str">
        <f>CONCATENATE("3071-0000-6131","")</f>
        <v>3071-0000-6131</v>
      </c>
      <c r="B5557" s="4" t="s">
        <v>7658</v>
      </c>
      <c r="C5557" s="5">
        <v>41489</v>
      </c>
      <c r="D5557" s="5">
        <v>41549</v>
      </c>
      <c r="E5557" s="4" t="s">
        <v>1410</v>
      </c>
      <c r="F5557" s="4" t="s">
        <v>1410</v>
      </c>
    </row>
    <row r="5558" spans="1:6" x14ac:dyDescent="0.25">
      <c r="A5558" s="4" t="str">
        <f>CONCATENATE("3071-0000-5582","")</f>
        <v>3071-0000-5582</v>
      </c>
      <c r="B5558" s="4" t="s">
        <v>7479</v>
      </c>
      <c r="C5558" s="5">
        <v>41489</v>
      </c>
      <c r="D5558" s="5">
        <v>41549</v>
      </c>
      <c r="E5558" s="4" t="s">
        <v>5185</v>
      </c>
      <c r="F5558" s="4" t="s">
        <v>5185</v>
      </c>
    </row>
    <row r="5559" spans="1:6" x14ac:dyDescent="0.25">
      <c r="A5559" s="4" t="str">
        <f>CONCATENATE("3071-0000-5881","")</f>
        <v>3071-0000-5881</v>
      </c>
      <c r="B5559" s="4" t="s">
        <v>7563</v>
      </c>
      <c r="C5559" s="5">
        <v>41489</v>
      </c>
      <c r="D5559" s="5">
        <v>41549</v>
      </c>
      <c r="E5559" s="4" t="s">
        <v>5185</v>
      </c>
      <c r="F5559" s="4" t="s">
        <v>5185</v>
      </c>
    </row>
    <row r="5560" spans="1:6" x14ac:dyDescent="0.25">
      <c r="A5560" s="4" t="str">
        <f>CONCATENATE("3071-0000-5885","")</f>
        <v>3071-0000-5885</v>
      </c>
      <c r="B5560" s="4" t="s">
        <v>7567</v>
      </c>
      <c r="C5560" s="5">
        <v>41489</v>
      </c>
      <c r="D5560" s="5">
        <v>41549</v>
      </c>
      <c r="E5560" s="4" t="s">
        <v>5185</v>
      </c>
      <c r="F5560" s="4" t="s">
        <v>5185</v>
      </c>
    </row>
    <row r="5561" spans="1:6" x14ac:dyDescent="0.25">
      <c r="A5561" s="4" t="str">
        <f>CONCATENATE("3071-0000-0536","")</f>
        <v>3071-0000-0536</v>
      </c>
      <c r="B5561" s="4" t="s">
        <v>21</v>
      </c>
      <c r="C5561" s="5">
        <v>41489</v>
      </c>
      <c r="D5561" s="5">
        <v>41549</v>
      </c>
      <c r="E5561" s="4" t="s">
        <v>7</v>
      </c>
      <c r="F5561" s="4" t="s">
        <v>7</v>
      </c>
    </row>
    <row r="5562" spans="1:6" x14ac:dyDescent="0.25">
      <c r="A5562" s="4" t="str">
        <f>CONCATENATE("3071-0000-6101","")</f>
        <v>3071-0000-6101</v>
      </c>
      <c r="B5562" s="4" t="s">
        <v>7722</v>
      </c>
      <c r="C5562" s="5">
        <v>41489</v>
      </c>
      <c r="D5562" s="5">
        <v>41549</v>
      </c>
      <c r="E5562" s="4" t="s">
        <v>1410</v>
      </c>
      <c r="F5562" s="4" t="s">
        <v>1410</v>
      </c>
    </row>
    <row r="5563" spans="1:6" x14ac:dyDescent="0.25">
      <c r="A5563" s="4" t="str">
        <f>CONCATENATE("3071-0000-7224","")</f>
        <v>3071-0000-7224</v>
      </c>
      <c r="B5563" s="4" t="s">
        <v>5013</v>
      </c>
      <c r="C5563" s="5">
        <v>41489</v>
      </c>
      <c r="D5563" s="5">
        <v>41549</v>
      </c>
      <c r="E5563" s="4" t="s">
        <v>1410</v>
      </c>
      <c r="F5563" s="4" t="s">
        <v>1410</v>
      </c>
    </row>
    <row r="5564" spans="1:6" x14ac:dyDescent="0.25">
      <c r="A5564" s="4" t="str">
        <f>CONCATENATE("3071-0000-5106","")</f>
        <v>3071-0000-5106</v>
      </c>
      <c r="B5564" s="4" t="s">
        <v>8747</v>
      </c>
      <c r="C5564" s="5">
        <v>41489</v>
      </c>
      <c r="D5564" s="5">
        <v>41549</v>
      </c>
      <c r="E5564" s="4" t="s">
        <v>1410</v>
      </c>
      <c r="F5564" s="4" t="s">
        <v>8696</v>
      </c>
    </row>
    <row r="5565" spans="1:6" x14ac:dyDescent="0.25">
      <c r="A5565" s="4" t="str">
        <f>CONCATENATE("3071-0000-7756","")</f>
        <v>3071-0000-7756</v>
      </c>
      <c r="B5565" s="4" t="s">
        <v>4515</v>
      </c>
      <c r="C5565" s="5">
        <v>41489</v>
      </c>
      <c r="D5565" s="5">
        <v>41549</v>
      </c>
      <c r="E5565" s="4" t="s">
        <v>1410</v>
      </c>
      <c r="F5565" s="4" t="s">
        <v>1410</v>
      </c>
    </row>
    <row r="5566" spans="1:6" x14ac:dyDescent="0.25">
      <c r="A5566" s="4" t="str">
        <f>CONCATENATE("3071-0000-9485","")</f>
        <v>3071-0000-9485</v>
      </c>
      <c r="B5566" s="4" t="s">
        <v>8575</v>
      </c>
      <c r="C5566" s="5">
        <v>41489</v>
      </c>
      <c r="D5566" s="5">
        <v>41549</v>
      </c>
      <c r="E5566" s="4" t="s">
        <v>1410</v>
      </c>
      <c r="F5566" s="4" t="s">
        <v>4459</v>
      </c>
    </row>
    <row r="5567" spans="1:6" x14ac:dyDescent="0.25">
      <c r="A5567" s="4" t="str">
        <f>CONCATENATE("3071-0000-6642","")</f>
        <v>3071-0000-6642</v>
      </c>
      <c r="B5567" s="4" t="s">
        <v>8010</v>
      </c>
      <c r="C5567" s="5">
        <v>41489</v>
      </c>
      <c r="D5567" s="5">
        <v>41549</v>
      </c>
      <c r="E5567" s="4" t="s">
        <v>5185</v>
      </c>
      <c r="F5567" s="4" t="s">
        <v>5185</v>
      </c>
    </row>
    <row r="5568" spans="1:6" x14ac:dyDescent="0.25">
      <c r="A5568" s="4" t="str">
        <f>CONCATENATE("3071-0000-6589","")</f>
        <v>3071-0000-6589</v>
      </c>
      <c r="B5568" s="4" t="s">
        <v>7999</v>
      </c>
      <c r="C5568" s="5">
        <v>41489</v>
      </c>
      <c r="D5568" s="5">
        <v>41549</v>
      </c>
      <c r="E5568" s="4" t="s">
        <v>5185</v>
      </c>
      <c r="F5568" s="4" t="s">
        <v>5185</v>
      </c>
    </row>
    <row r="5569" spans="1:6" x14ac:dyDescent="0.25">
      <c r="A5569" s="4" t="str">
        <f>CONCATENATE("3071-0000-7313","")</f>
        <v>3071-0000-7313</v>
      </c>
      <c r="B5569" s="4" t="s">
        <v>4619</v>
      </c>
      <c r="C5569" s="5">
        <v>41489</v>
      </c>
      <c r="D5569" s="5">
        <v>41549</v>
      </c>
      <c r="E5569" s="4" t="s">
        <v>1410</v>
      </c>
      <c r="F5569" s="4" t="s">
        <v>1410</v>
      </c>
    </row>
    <row r="5570" spans="1:6" x14ac:dyDescent="0.25">
      <c r="A5570" s="4" t="str">
        <f>CONCATENATE("3071-0000-5713","")</f>
        <v>3071-0000-5713</v>
      </c>
      <c r="B5570" s="4" t="s">
        <v>6961</v>
      </c>
      <c r="C5570" s="5">
        <v>41489</v>
      </c>
      <c r="D5570" s="5">
        <v>41549</v>
      </c>
      <c r="E5570" s="4" t="s">
        <v>5185</v>
      </c>
      <c r="F5570" s="4" t="s">
        <v>5185</v>
      </c>
    </row>
    <row r="5571" spans="1:6" x14ac:dyDescent="0.25">
      <c r="A5571" s="4" t="str">
        <f>CONCATENATE("3071-0000-7666","")</f>
        <v>3071-0000-7666</v>
      </c>
      <c r="B5571" s="4" t="s">
        <v>5157</v>
      </c>
      <c r="C5571" s="5">
        <v>41489</v>
      </c>
      <c r="D5571" s="5">
        <v>41549</v>
      </c>
      <c r="E5571" s="4" t="s">
        <v>1410</v>
      </c>
      <c r="F5571" s="4" t="s">
        <v>4616</v>
      </c>
    </row>
    <row r="5572" spans="1:6" x14ac:dyDescent="0.25">
      <c r="A5572" s="4" t="str">
        <f>CONCATENATE("3071-0000-2844","")</f>
        <v>3071-0000-2844</v>
      </c>
      <c r="B5572" s="4" t="s">
        <v>1161</v>
      </c>
      <c r="C5572" s="5">
        <v>41489</v>
      </c>
      <c r="D5572" s="5">
        <v>41549</v>
      </c>
      <c r="E5572" s="4" t="s">
        <v>7</v>
      </c>
      <c r="F5572" s="4" t="s">
        <v>808</v>
      </c>
    </row>
    <row r="5573" spans="1:6" x14ac:dyDescent="0.25">
      <c r="A5573" s="4" t="str">
        <f>CONCATENATE("3071-0000-6951","")</f>
        <v>3071-0000-6951</v>
      </c>
      <c r="B5573" s="4" t="s">
        <v>4500</v>
      </c>
      <c r="C5573" s="5">
        <v>41489</v>
      </c>
      <c r="D5573" s="5">
        <v>41549</v>
      </c>
      <c r="E5573" s="4" t="s">
        <v>1410</v>
      </c>
      <c r="F5573" s="4" t="s">
        <v>1410</v>
      </c>
    </row>
    <row r="5574" spans="1:6" x14ac:dyDescent="0.25">
      <c r="A5574" s="4" t="str">
        <f>CONCATENATE("3071-0000-0512","")</f>
        <v>3071-0000-0512</v>
      </c>
      <c r="B5574" s="4" t="s">
        <v>445</v>
      </c>
      <c r="C5574" s="5">
        <v>41489</v>
      </c>
      <c r="D5574" s="5">
        <v>41549</v>
      </c>
      <c r="E5574" s="4" t="s">
        <v>7</v>
      </c>
      <c r="F5574" s="4" t="s">
        <v>7</v>
      </c>
    </row>
    <row r="5575" spans="1:6" x14ac:dyDescent="0.25">
      <c r="A5575" s="4" t="str">
        <f>CONCATENATE("3071-0000-0424","")</f>
        <v>3071-0000-0424</v>
      </c>
      <c r="B5575" s="4" t="s">
        <v>630</v>
      </c>
      <c r="C5575" s="5">
        <v>41489</v>
      </c>
      <c r="D5575" s="5">
        <v>41549</v>
      </c>
      <c r="E5575" s="4" t="s">
        <v>7</v>
      </c>
      <c r="F5575" s="4" t="s">
        <v>7</v>
      </c>
    </row>
    <row r="5576" spans="1:6" x14ac:dyDescent="0.25">
      <c r="A5576" s="4" t="str">
        <f>CONCATENATE("3071-0000-0745","")</f>
        <v>3071-0000-0745</v>
      </c>
      <c r="B5576" s="4" t="s">
        <v>255</v>
      </c>
      <c r="C5576" s="5">
        <v>41489</v>
      </c>
      <c r="D5576" s="5">
        <v>41549</v>
      </c>
      <c r="E5576" s="4" t="s">
        <v>7</v>
      </c>
      <c r="F5576" s="4" t="s">
        <v>7</v>
      </c>
    </row>
    <row r="5577" spans="1:6" x14ac:dyDescent="0.25">
      <c r="A5577" s="4" t="str">
        <f>CONCATENATE("3071-0000-8626","")</f>
        <v>3071-0000-8626</v>
      </c>
      <c r="B5577" s="4" t="s">
        <v>5655</v>
      </c>
      <c r="C5577" s="5">
        <v>41489</v>
      </c>
      <c r="D5577" s="5">
        <v>41549</v>
      </c>
      <c r="E5577" s="4" t="s">
        <v>5185</v>
      </c>
      <c r="F5577" s="4" t="s">
        <v>5250</v>
      </c>
    </row>
    <row r="5578" spans="1:6" x14ac:dyDescent="0.25">
      <c r="A5578" s="4" t="str">
        <f>CONCATENATE("3071-0000-7424","")</f>
        <v>3071-0000-7424</v>
      </c>
      <c r="B5578" s="4" t="s">
        <v>4679</v>
      </c>
      <c r="C5578" s="5">
        <v>41489</v>
      </c>
      <c r="D5578" s="5">
        <v>41549</v>
      </c>
      <c r="E5578" s="4" t="s">
        <v>1410</v>
      </c>
      <c r="F5578" s="4" t="s">
        <v>1410</v>
      </c>
    </row>
    <row r="5579" spans="1:6" x14ac:dyDescent="0.25">
      <c r="A5579" s="4" t="str">
        <f>CONCATENATE("3071-0000-2983","")</f>
        <v>3071-0000-2983</v>
      </c>
      <c r="B5579" s="4" t="s">
        <v>1151</v>
      </c>
      <c r="C5579" s="5">
        <v>41489</v>
      </c>
      <c r="D5579" s="5">
        <v>41549</v>
      </c>
      <c r="E5579" s="4" t="s">
        <v>7</v>
      </c>
      <c r="F5579" s="4" t="s">
        <v>808</v>
      </c>
    </row>
    <row r="5580" spans="1:6" x14ac:dyDescent="0.25">
      <c r="A5580" s="4" t="str">
        <f>CONCATENATE("3071-0000-3974","")</f>
        <v>3071-0000-3974</v>
      </c>
      <c r="B5580" s="4" t="s">
        <v>4210</v>
      </c>
      <c r="C5580" s="5">
        <v>41489</v>
      </c>
      <c r="D5580" s="5">
        <v>41549</v>
      </c>
      <c r="E5580" s="4" t="s">
        <v>2944</v>
      </c>
      <c r="F5580" s="4" t="s">
        <v>3513</v>
      </c>
    </row>
    <row r="5581" spans="1:6" x14ac:dyDescent="0.25">
      <c r="A5581" s="4" t="str">
        <f>CONCATENATE("3071-0000-7752","")</f>
        <v>3071-0000-7752</v>
      </c>
      <c r="B5581" s="4" t="s">
        <v>4418</v>
      </c>
      <c r="C5581" s="5">
        <v>41489</v>
      </c>
      <c r="D5581" s="5">
        <v>41549</v>
      </c>
      <c r="E5581" s="4" t="s">
        <v>1410</v>
      </c>
      <c r="F5581" s="4" t="s">
        <v>1410</v>
      </c>
    </row>
    <row r="5582" spans="1:6" x14ac:dyDescent="0.25">
      <c r="A5582" s="4" t="str">
        <f>CONCATENATE("3071-0000-6608","")</f>
        <v>3071-0000-6608</v>
      </c>
      <c r="B5582" s="4" t="s">
        <v>8018</v>
      </c>
      <c r="C5582" s="5">
        <v>41489</v>
      </c>
      <c r="D5582" s="5">
        <v>41549</v>
      </c>
      <c r="E5582" s="4" t="s">
        <v>5185</v>
      </c>
      <c r="F5582" s="4" t="s">
        <v>5185</v>
      </c>
    </row>
    <row r="5583" spans="1:6" x14ac:dyDescent="0.25">
      <c r="A5583" s="4" t="str">
        <f>CONCATENATE("3071-0000-0562","")</f>
        <v>3071-0000-0562</v>
      </c>
      <c r="B5583" s="4" t="s">
        <v>471</v>
      </c>
      <c r="C5583" s="5">
        <v>41489</v>
      </c>
      <c r="D5583" s="5">
        <v>41549</v>
      </c>
      <c r="E5583" s="4" t="s">
        <v>7</v>
      </c>
      <c r="F5583" s="4" t="s">
        <v>7</v>
      </c>
    </row>
    <row r="5584" spans="1:6" x14ac:dyDescent="0.25">
      <c r="A5584" s="4" t="str">
        <f>CONCATENATE("3071-0000-3691","")</f>
        <v>3071-0000-3691</v>
      </c>
      <c r="B5584" s="4" t="s">
        <v>1820</v>
      </c>
      <c r="C5584" s="5">
        <v>41489</v>
      </c>
      <c r="D5584" s="5">
        <v>41549</v>
      </c>
      <c r="E5584" s="4" t="s">
        <v>1410</v>
      </c>
      <c r="F5584" s="4" t="s">
        <v>1411</v>
      </c>
    </row>
    <row r="5585" spans="1:6" x14ac:dyDescent="0.25">
      <c r="A5585" s="4" t="str">
        <f>CONCATENATE("3071-0000-7581","")</f>
        <v>3071-0000-7581</v>
      </c>
      <c r="B5585" s="4" t="s">
        <v>4276</v>
      </c>
      <c r="C5585" s="5">
        <v>41489</v>
      </c>
      <c r="D5585" s="5">
        <v>41549</v>
      </c>
      <c r="E5585" s="4" t="s">
        <v>1410</v>
      </c>
      <c r="F5585" s="4" t="s">
        <v>1410</v>
      </c>
    </row>
    <row r="5586" spans="1:6" x14ac:dyDescent="0.25">
      <c r="A5586" s="4" t="str">
        <f>CONCATENATE("3071-0000-3809","")</f>
        <v>3071-0000-3809</v>
      </c>
      <c r="B5586" s="4" t="s">
        <v>3838</v>
      </c>
      <c r="C5586" s="5">
        <v>41489</v>
      </c>
      <c r="D5586" s="5">
        <v>41549</v>
      </c>
      <c r="E5586" s="4" t="s">
        <v>7</v>
      </c>
      <c r="F5586" s="4" t="s">
        <v>3818</v>
      </c>
    </row>
    <row r="5587" spans="1:6" x14ac:dyDescent="0.25">
      <c r="A5587" s="4" t="str">
        <f>CONCATENATE("3071-0000-0453","")</f>
        <v>3071-0000-0453</v>
      </c>
      <c r="B5587" s="4" t="s">
        <v>130</v>
      </c>
      <c r="C5587" s="5">
        <v>41489</v>
      </c>
      <c r="D5587" s="5">
        <v>41549</v>
      </c>
      <c r="E5587" s="4" t="s">
        <v>7</v>
      </c>
      <c r="F5587" s="4" t="s">
        <v>7</v>
      </c>
    </row>
    <row r="5588" spans="1:6" x14ac:dyDescent="0.25">
      <c r="A5588" s="4" t="str">
        <f>CONCATENATE("3071-0000-0537","")</f>
        <v>3071-0000-0537</v>
      </c>
      <c r="B5588" s="4" t="s">
        <v>604</v>
      </c>
      <c r="C5588" s="5">
        <v>41489</v>
      </c>
      <c r="D5588" s="5">
        <v>41549</v>
      </c>
      <c r="E5588" s="4" t="s">
        <v>7</v>
      </c>
      <c r="F5588" s="4" t="s">
        <v>7</v>
      </c>
    </row>
    <row r="5589" spans="1:6" x14ac:dyDescent="0.25">
      <c r="A5589" s="4" t="str">
        <f>CONCATENATE("3071-0000-5769","")</f>
        <v>3071-0000-5769</v>
      </c>
      <c r="B5589" s="4" t="s">
        <v>6998</v>
      </c>
      <c r="C5589" s="5">
        <v>41489</v>
      </c>
      <c r="D5589" s="5">
        <v>41549</v>
      </c>
      <c r="E5589" s="4" t="s">
        <v>5185</v>
      </c>
      <c r="F5589" s="4" t="s">
        <v>5185</v>
      </c>
    </row>
    <row r="5590" spans="1:6" x14ac:dyDescent="0.25">
      <c r="A5590" s="4" t="str">
        <f>CONCATENATE("3071-0000-7866","")</f>
        <v>3071-0000-7866</v>
      </c>
      <c r="B5590" s="4" t="s">
        <v>6321</v>
      </c>
      <c r="C5590" s="5">
        <v>41489</v>
      </c>
      <c r="D5590" s="5">
        <v>41549</v>
      </c>
      <c r="E5590" s="4" t="s">
        <v>5185</v>
      </c>
      <c r="F5590" s="4" t="s">
        <v>5185</v>
      </c>
    </row>
    <row r="5591" spans="1:6" x14ac:dyDescent="0.25">
      <c r="A5591" s="4" t="str">
        <f>CONCATENATE("3071-0000-1554","")</f>
        <v>3071-0000-1554</v>
      </c>
      <c r="B5591" s="4" t="s">
        <v>2867</v>
      </c>
      <c r="C5591" s="5">
        <v>41489</v>
      </c>
      <c r="D5591" s="5">
        <v>41549</v>
      </c>
      <c r="E5591" s="4" t="s">
        <v>1381</v>
      </c>
      <c r="F5591" s="4" t="s">
        <v>2303</v>
      </c>
    </row>
    <row r="5592" spans="1:6" x14ac:dyDescent="0.25">
      <c r="A5592" s="4" t="str">
        <f>CONCATENATE("3071-0000-4010","")</f>
        <v>3071-0000-4010</v>
      </c>
      <c r="B5592" s="4" t="s">
        <v>4164</v>
      </c>
      <c r="C5592" s="5">
        <v>41489</v>
      </c>
      <c r="D5592" s="5">
        <v>41549</v>
      </c>
      <c r="E5592" s="4" t="s">
        <v>2944</v>
      </c>
      <c r="F5592" s="4" t="s">
        <v>3513</v>
      </c>
    </row>
    <row r="5593" spans="1:6" x14ac:dyDescent="0.25">
      <c r="A5593" s="4" t="str">
        <f>CONCATENATE("3071-0000-6897","")</f>
        <v>3071-0000-6897</v>
      </c>
      <c r="B5593" s="4" t="s">
        <v>4483</v>
      </c>
      <c r="C5593" s="5">
        <v>41489</v>
      </c>
      <c r="D5593" s="5">
        <v>41549</v>
      </c>
      <c r="E5593" s="4" t="s">
        <v>1410</v>
      </c>
      <c r="F5593" s="4" t="s">
        <v>1410</v>
      </c>
    </row>
    <row r="5594" spans="1:6" x14ac:dyDescent="0.25">
      <c r="A5594" s="4" t="str">
        <f>CONCATENATE("3071-0000-3710","")</f>
        <v>3071-0000-3710</v>
      </c>
      <c r="B5594" s="4" t="s">
        <v>1443</v>
      </c>
      <c r="C5594" s="5">
        <v>41489</v>
      </c>
      <c r="D5594" s="5">
        <v>41549</v>
      </c>
      <c r="E5594" s="4" t="s">
        <v>1410</v>
      </c>
      <c r="F5594" s="4" t="s">
        <v>1411</v>
      </c>
    </row>
    <row r="5595" spans="1:6" x14ac:dyDescent="0.25">
      <c r="A5595" s="4" t="str">
        <f>CONCATENATE("3071-0000-3722","")</f>
        <v>3071-0000-3722</v>
      </c>
      <c r="B5595" s="4" t="s">
        <v>1434</v>
      </c>
      <c r="C5595" s="5">
        <v>41489</v>
      </c>
      <c r="D5595" s="5">
        <v>41549</v>
      </c>
      <c r="E5595" s="4" t="s">
        <v>1410</v>
      </c>
      <c r="F5595" s="4" t="s">
        <v>1411</v>
      </c>
    </row>
    <row r="5596" spans="1:6" x14ac:dyDescent="0.25">
      <c r="A5596" s="4" t="str">
        <f>CONCATENATE("3071-0000-1706","")</f>
        <v>3071-0000-1706</v>
      </c>
      <c r="B5596" s="4" t="s">
        <v>2405</v>
      </c>
      <c r="C5596" s="5">
        <v>41489</v>
      </c>
      <c r="D5596" s="5">
        <v>41549</v>
      </c>
      <c r="E5596" s="4" t="s">
        <v>1381</v>
      </c>
      <c r="F5596" s="4" t="s">
        <v>2303</v>
      </c>
    </row>
    <row r="5597" spans="1:6" x14ac:dyDescent="0.25">
      <c r="A5597" s="4" t="str">
        <f>CONCATENATE("3071-0000-5180","")</f>
        <v>3071-0000-5180</v>
      </c>
      <c r="B5597" s="4" t="s">
        <v>8979</v>
      </c>
      <c r="C5597" s="5">
        <v>41489</v>
      </c>
      <c r="D5597" s="5">
        <v>41549</v>
      </c>
      <c r="E5597" s="4" t="s">
        <v>1410</v>
      </c>
      <c r="F5597" s="4" t="s">
        <v>8903</v>
      </c>
    </row>
    <row r="5598" spans="1:6" x14ac:dyDescent="0.25">
      <c r="A5598" s="4" t="str">
        <f>CONCATENATE("3071-0000-3320","")</f>
        <v>3071-0000-3320</v>
      </c>
      <c r="B5598" s="4" t="s">
        <v>1113</v>
      </c>
      <c r="C5598" s="5">
        <v>41489</v>
      </c>
      <c r="D5598" s="5">
        <v>41549</v>
      </c>
      <c r="E5598" s="4" t="s">
        <v>7</v>
      </c>
      <c r="F5598" s="4" t="s">
        <v>808</v>
      </c>
    </row>
    <row r="5599" spans="1:6" x14ac:dyDescent="0.25">
      <c r="A5599" s="4" t="str">
        <f>CONCATENATE("3071-0000-4153","")</f>
        <v>3071-0000-4153</v>
      </c>
      <c r="B5599" s="4" t="s">
        <v>4033</v>
      </c>
      <c r="C5599" s="5">
        <v>41489</v>
      </c>
      <c r="D5599" s="5">
        <v>41549</v>
      </c>
      <c r="E5599" s="4" t="s">
        <v>1381</v>
      </c>
      <c r="F5599" s="4" t="s">
        <v>3994</v>
      </c>
    </row>
    <row r="5600" spans="1:6" x14ac:dyDescent="0.25">
      <c r="A5600" s="4" t="str">
        <f>CONCATENATE("3071-0000-6083","")</f>
        <v>3071-0000-6083</v>
      </c>
      <c r="B5600" s="4" t="s">
        <v>7529</v>
      </c>
      <c r="C5600" s="5">
        <v>41489</v>
      </c>
      <c r="D5600" s="5">
        <v>41549</v>
      </c>
      <c r="E5600" s="4" t="s">
        <v>1410</v>
      </c>
      <c r="F5600" s="4" t="s">
        <v>1410</v>
      </c>
    </row>
    <row r="5601" spans="1:6" x14ac:dyDescent="0.25">
      <c r="A5601" s="4" t="str">
        <f>CONCATENATE("3071-0000-2780","")</f>
        <v>3071-0000-2780</v>
      </c>
      <c r="B5601" s="4" t="s">
        <v>942</v>
      </c>
      <c r="C5601" s="5">
        <v>41489</v>
      </c>
      <c r="D5601" s="5">
        <v>41549</v>
      </c>
      <c r="E5601" s="4" t="s">
        <v>7</v>
      </c>
      <c r="F5601" s="4" t="s">
        <v>808</v>
      </c>
    </row>
    <row r="5602" spans="1:6" x14ac:dyDescent="0.25">
      <c r="A5602" s="4" t="str">
        <f>CONCATENATE("3071-0000-2104","")</f>
        <v>3071-0000-2104</v>
      </c>
      <c r="B5602" s="4" t="s">
        <v>3492</v>
      </c>
      <c r="C5602" s="5">
        <v>41489</v>
      </c>
      <c r="D5602" s="5">
        <v>41549</v>
      </c>
      <c r="E5602" s="4" t="s">
        <v>2944</v>
      </c>
      <c r="F5602" s="4" t="s">
        <v>2945</v>
      </c>
    </row>
    <row r="5603" spans="1:6" x14ac:dyDescent="0.25">
      <c r="A5603" s="4" t="str">
        <f>CONCATENATE("3071-0000-2073","")</f>
        <v>3071-0000-2073</v>
      </c>
      <c r="B5603" s="4" t="s">
        <v>3453</v>
      </c>
      <c r="C5603" s="5">
        <v>41489</v>
      </c>
      <c r="D5603" s="5">
        <v>41549</v>
      </c>
      <c r="E5603" s="4" t="s">
        <v>2944</v>
      </c>
      <c r="F5603" s="4" t="s">
        <v>3434</v>
      </c>
    </row>
    <row r="5604" spans="1:6" x14ac:dyDescent="0.25">
      <c r="A5604" s="4" t="str">
        <f>CONCATENATE("3071-0000-3881","")</f>
        <v>3071-0000-3881</v>
      </c>
      <c r="B5604" s="4" t="s">
        <v>4091</v>
      </c>
      <c r="C5604" s="5">
        <v>41489</v>
      </c>
      <c r="D5604" s="5">
        <v>41549</v>
      </c>
      <c r="E5604" s="4" t="s">
        <v>2944</v>
      </c>
      <c r="F5604" s="4" t="s">
        <v>3513</v>
      </c>
    </row>
    <row r="5605" spans="1:6" x14ac:dyDescent="0.25">
      <c r="A5605" s="4" t="str">
        <f>CONCATENATE("3071-0000-0992","")</f>
        <v>3071-0000-0992</v>
      </c>
      <c r="B5605" s="4" t="s">
        <v>2201</v>
      </c>
      <c r="C5605" s="5">
        <v>41489</v>
      </c>
      <c r="D5605" s="5">
        <v>41549</v>
      </c>
      <c r="E5605" s="4" t="s">
        <v>1857</v>
      </c>
      <c r="F5605" s="4" t="s">
        <v>1857</v>
      </c>
    </row>
    <row r="5606" spans="1:6" x14ac:dyDescent="0.25">
      <c r="A5606" s="4" t="str">
        <f>CONCATENATE("3071-0000-4640","")</f>
        <v>3071-0000-4640</v>
      </c>
      <c r="B5606" s="4" t="s">
        <v>8937</v>
      </c>
      <c r="C5606" s="5">
        <v>41489</v>
      </c>
      <c r="D5606" s="5">
        <v>41549</v>
      </c>
      <c r="E5606" s="4" t="s">
        <v>1410</v>
      </c>
      <c r="F5606" s="4" t="s">
        <v>8696</v>
      </c>
    </row>
    <row r="5607" spans="1:6" x14ac:dyDescent="0.25">
      <c r="A5607" s="4" t="str">
        <f>CONCATENATE("3071-0000-6195","")</f>
        <v>3071-0000-6195</v>
      </c>
      <c r="B5607" s="4" t="s">
        <v>7006</v>
      </c>
      <c r="C5607" s="5">
        <v>41489</v>
      </c>
      <c r="D5607" s="5">
        <v>41549</v>
      </c>
      <c r="E5607" s="4" t="s">
        <v>1410</v>
      </c>
      <c r="F5607" s="4" t="s">
        <v>6798</v>
      </c>
    </row>
    <row r="5608" spans="1:6" x14ac:dyDescent="0.25">
      <c r="A5608" s="4" t="str">
        <f>CONCATENATE("3071-0000-4793","")</f>
        <v>3071-0000-4793</v>
      </c>
      <c r="B5608" s="4" t="s">
        <v>9527</v>
      </c>
      <c r="C5608" s="5">
        <v>41489</v>
      </c>
      <c r="D5608" s="5">
        <v>41549</v>
      </c>
      <c r="E5608" s="4" t="s">
        <v>1410</v>
      </c>
      <c r="F5608" s="4" t="s">
        <v>8696</v>
      </c>
    </row>
    <row r="5609" spans="1:6" x14ac:dyDescent="0.25">
      <c r="A5609" s="4" t="str">
        <f>CONCATENATE("3071-0000-7780","")</f>
        <v>3071-0000-7780</v>
      </c>
      <c r="B5609" s="4" t="s">
        <v>4321</v>
      </c>
      <c r="C5609" s="5">
        <v>41489</v>
      </c>
      <c r="D5609" s="5">
        <v>41549</v>
      </c>
      <c r="E5609" s="4" t="s">
        <v>1410</v>
      </c>
      <c r="F5609" s="4" t="s">
        <v>1410</v>
      </c>
    </row>
    <row r="5610" spans="1:6" x14ac:dyDescent="0.25">
      <c r="A5610" s="4" t="str">
        <f>CONCATENATE("3071-0000-6242","")</f>
        <v>3071-0000-6242</v>
      </c>
      <c r="B5610" s="4" t="s">
        <v>7666</v>
      </c>
      <c r="C5610" s="5">
        <v>41489</v>
      </c>
      <c r="D5610" s="5">
        <v>41549</v>
      </c>
      <c r="E5610" s="4" t="s">
        <v>1410</v>
      </c>
      <c r="F5610" s="4" t="s">
        <v>1410</v>
      </c>
    </row>
    <row r="5611" spans="1:6" x14ac:dyDescent="0.25">
      <c r="A5611" s="4" t="str">
        <f>CONCATENATE("3071-0000-7513","")</f>
        <v>3071-0000-7513</v>
      </c>
      <c r="B5611" s="4" t="s">
        <v>4633</v>
      </c>
      <c r="C5611" s="5">
        <v>41489</v>
      </c>
      <c r="D5611" s="5">
        <v>41549</v>
      </c>
      <c r="E5611" s="4" t="s">
        <v>1410</v>
      </c>
      <c r="F5611" s="4" t="s">
        <v>1410</v>
      </c>
    </row>
    <row r="5612" spans="1:6" x14ac:dyDescent="0.25">
      <c r="A5612" s="4" t="str">
        <f>CONCATENATE("3071-0000-2694","")</f>
        <v>3071-0000-2694</v>
      </c>
      <c r="B5612" s="4" t="s">
        <v>2952</v>
      </c>
      <c r="C5612" s="5">
        <v>41489</v>
      </c>
      <c r="D5612" s="5">
        <v>41549</v>
      </c>
      <c r="E5612" s="4" t="s">
        <v>2944</v>
      </c>
      <c r="F5612" s="4" t="s">
        <v>2949</v>
      </c>
    </row>
    <row r="5613" spans="1:6" x14ac:dyDescent="0.25">
      <c r="A5613" s="4" t="str">
        <f>CONCATENATE("3071-0000-2698","")</f>
        <v>3071-0000-2698</v>
      </c>
      <c r="B5613" s="4" t="s">
        <v>3512</v>
      </c>
      <c r="C5613" s="5">
        <v>41489</v>
      </c>
      <c r="D5613" s="5">
        <v>41549</v>
      </c>
      <c r="E5613" s="4" t="s">
        <v>2944</v>
      </c>
      <c r="F5613" s="4" t="s">
        <v>3513</v>
      </c>
    </row>
    <row r="5614" spans="1:6" x14ac:dyDescent="0.25">
      <c r="A5614" s="4" t="str">
        <f>CONCATENATE("3071-0000-2479","")</f>
        <v>3071-0000-2479</v>
      </c>
      <c r="B5614" s="4" t="s">
        <v>3643</v>
      </c>
      <c r="C5614" s="5">
        <v>41489</v>
      </c>
      <c r="D5614" s="5">
        <v>41549</v>
      </c>
      <c r="E5614" s="4" t="s">
        <v>2944</v>
      </c>
      <c r="F5614" s="4" t="s">
        <v>3567</v>
      </c>
    </row>
    <row r="5615" spans="1:6" x14ac:dyDescent="0.25">
      <c r="A5615" s="4" t="str">
        <f>CONCATENATE("3071-0000-2539","")</f>
        <v>3071-0000-2539</v>
      </c>
      <c r="B5615" s="4" t="s">
        <v>2989</v>
      </c>
      <c r="C5615" s="5">
        <v>41489</v>
      </c>
      <c r="D5615" s="5">
        <v>41549</v>
      </c>
      <c r="E5615" s="4" t="s">
        <v>2944</v>
      </c>
      <c r="F5615" s="4" t="s">
        <v>2949</v>
      </c>
    </row>
    <row r="5616" spans="1:6" x14ac:dyDescent="0.25">
      <c r="A5616" s="4" t="str">
        <f>CONCATENATE("3071-0000-8429","")</f>
        <v>3071-0000-8429</v>
      </c>
      <c r="B5616" s="4" t="s">
        <v>5278</v>
      </c>
      <c r="C5616" s="5">
        <v>41489</v>
      </c>
      <c r="D5616" s="5">
        <v>41549</v>
      </c>
      <c r="E5616" s="4" t="s">
        <v>5185</v>
      </c>
      <c r="F5616" s="4" t="s">
        <v>5185</v>
      </c>
    </row>
    <row r="5617" spans="1:6" x14ac:dyDescent="0.25">
      <c r="A5617" s="4" t="str">
        <f>CONCATENATE("3071-0000-0261","")</f>
        <v>3071-0000-0261</v>
      </c>
      <c r="B5617" s="4" t="s">
        <v>594</v>
      </c>
      <c r="C5617" s="5">
        <v>41489</v>
      </c>
      <c r="D5617" s="5">
        <v>41549</v>
      </c>
      <c r="E5617" s="4" t="s">
        <v>7</v>
      </c>
      <c r="F5617" s="4" t="s">
        <v>7</v>
      </c>
    </row>
    <row r="5618" spans="1:6" x14ac:dyDescent="0.25">
      <c r="A5618" s="4" t="str">
        <f>CONCATENATE("3071-0000-5526","")</f>
        <v>3071-0000-5526</v>
      </c>
      <c r="B5618" s="4" t="s">
        <v>6981</v>
      </c>
      <c r="C5618" s="5">
        <v>41489</v>
      </c>
      <c r="D5618" s="5">
        <v>41549</v>
      </c>
      <c r="E5618" s="4" t="s">
        <v>5185</v>
      </c>
      <c r="F5618" s="4" t="s">
        <v>5185</v>
      </c>
    </row>
    <row r="5619" spans="1:6" x14ac:dyDescent="0.25">
      <c r="A5619" s="4" t="str">
        <f>CONCATENATE("3071-0000-3630","")</f>
        <v>3071-0000-3630</v>
      </c>
      <c r="B5619" s="4" t="s">
        <v>1639</v>
      </c>
      <c r="C5619" s="5">
        <v>41489</v>
      </c>
      <c r="D5619" s="5">
        <v>41549</v>
      </c>
      <c r="E5619" s="4" t="s">
        <v>1410</v>
      </c>
      <c r="F5619" s="4" t="s">
        <v>1410</v>
      </c>
    </row>
    <row r="5620" spans="1:6" x14ac:dyDescent="0.25">
      <c r="A5620" s="4" t="str">
        <f>CONCATENATE("3071-0000-8056","")</f>
        <v>3071-0000-8056</v>
      </c>
      <c r="B5620" s="4" t="s">
        <v>6197</v>
      </c>
      <c r="C5620" s="5">
        <v>41489</v>
      </c>
      <c r="D5620" s="5">
        <v>41549</v>
      </c>
      <c r="E5620" s="4" t="s">
        <v>5185</v>
      </c>
      <c r="F5620" s="4" t="s">
        <v>5185</v>
      </c>
    </row>
    <row r="5621" spans="1:6" x14ac:dyDescent="0.25">
      <c r="A5621" s="4" t="str">
        <f>CONCATENATE("3071-0000-1498","")</f>
        <v>3071-0000-1498</v>
      </c>
      <c r="B5621" s="4" t="s">
        <v>2819</v>
      </c>
      <c r="C5621" s="5">
        <v>41489</v>
      </c>
      <c r="D5621" s="5">
        <v>41549</v>
      </c>
      <c r="E5621" s="4" t="s">
        <v>1381</v>
      </c>
      <c r="F5621" s="4" t="s">
        <v>2303</v>
      </c>
    </row>
    <row r="5622" spans="1:6" x14ac:dyDescent="0.25">
      <c r="A5622" s="4" t="str">
        <f>CONCATENATE("3071-0000-1820","")</f>
        <v>3071-0000-1820</v>
      </c>
      <c r="B5622" s="4" t="s">
        <v>2821</v>
      </c>
      <c r="C5622" s="5">
        <v>41489</v>
      </c>
      <c r="D5622" s="5">
        <v>41549</v>
      </c>
      <c r="E5622" s="4" t="s">
        <v>1381</v>
      </c>
      <c r="F5622" s="4" t="s">
        <v>2533</v>
      </c>
    </row>
    <row r="5623" spans="1:6" x14ac:dyDescent="0.25">
      <c r="A5623" s="4" t="str">
        <f>CONCATENATE("3071-0000-5860","")</f>
        <v>3071-0000-5860</v>
      </c>
      <c r="B5623" s="4" t="s">
        <v>7374</v>
      </c>
      <c r="C5623" s="5">
        <v>41489</v>
      </c>
      <c r="D5623" s="5">
        <v>41549</v>
      </c>
      <c r="E5623" s="4" t="s">
        <v>5185</v>
      </c>
      <c r="F5623" s="4" t="s">
        <v>5185</v>
      </c>
    </row>
    <row r="5624" spans="1:6" x14ac:dyDescent="0.25">
      <c r="A5624" s="4" t="str">
        <f>CONCATENATE("3071-0000-4805","")</f>
        <v>3071-0000-4805</v>
      </c>
      <c r="B5624" s="4" t="s">
        <v>8726</v>
      </c>
      <c r="C5624" s="5">
        <v>41489</v>
      </c>
      <c r="D5624" s="5">
        <v>41549</v>
      </c>
      <c r="E5624" s="4" t="s">
        <v>1410</v>
      </c>
      <c r="F5624" s="4" t="s">
        <v>8696</v>
      </c>
    </row>
    <row r="5625" spans="1:6" x14ac:dyDescent="0.25">
      <c r="A5625" s="4" t="str">
        <f>CONCATENATE("3071-0000-4344","")</f>
        <v>3071-0000-4344</v>
      </c>
      <c r="B5625" s="4" t="s">
        <v>9103</v>
      </c>
      <c r="C5625" s="5">
        <v>41489</v>
      </c>
      <c r="D5625" s="5">
        <v>41549</v>
      </c>
      <c r="E5625" s="4" t="s">
        <v>1410</v>
      </c>
      <c r="F5625" s="4" t="s">
        <v>8696</v>
      </c>
    </row>
    <row r="5626" spans="1:6" x14ac:dyDescent="0.25">
      <c r="A5626" s="4" t="str">
        <f>CONCATENATE("3071-0000-2720","")</f>
        <v>3071-0000-2720</v>
      </c>
      <c r="B5626" s="4" t="s">
        <v>3804</v>
      </c>
      <c r="C5626" s="5">
        <v>41489</v>
      </c>
      <c r="D5626" s="5">
        <v>41549</v>
      </c>
      <c r="E5626" s="4" t="s">
        <v>2944</v>
      </c>
      <c r="F5626" s="4" t="s">
        <v>3115</v>
      </c>
    </row>
    <row r="5627" spans="1:6" x14ac:dyDescent="0.25">
      <c r="A5627" s="4" t="str">
        <f>CONCATENATE("3071-0000-2373","")</f>
        <v>3071-0000-2373</v>
      </c>
      <c r="B5627" s="4" t="s">
        <v>3564</v>
      </c>
      <c r="C5627" s="5">
        <v>41489</v>
      </c>
      <c r="D5627" s="5">
        <v>41549</v>
      </c>
      <c r="E5627" s="4" t="s">
        <v>2944</v>
      </c>
      <c r="F5627" s="4" t="s">
        <v>3515</v>
      </c>
    </row>
    <row r="5628" spans="1:6" x14ac:dyDescent="0.25">
      <c r="A5628" s="4" t="str">
        <f>CONCATENATE("3071-0000-2597","")</f>
        <v>3071-0000-2597</v>
      </c>
      <c r="B5628" s="4" t="s">
        <v>3240</v>
      </c>
      <c r="C5628" s="5">
        <v>41489</v>
      </c>
      <c r="D5628" s="5">
        <v>41549</v>
      </c>
      <c r="E5628" s="4" t="s">
        <v>2944</v>
      </c>
      <c r="F5628" s="4" t="s">
        <v>3164</v>
      </c>
    </row>
    <row r="5629" spans="1:6" x14ac:dyDescent="0.25">
      <c r="A5629" s="4" t="str">
        <f>CONCATENATE("3071-0000-2598","")</f>
        <v>3071-0000-2598</v>
      </c>
      <c r="B5629" s="4" t="s">
        <v>3241</v>
      </c>
      <c r="C5629" s="5">
        <v>41489</v>
      </c>
      <c r="D5629" s="5">
        <v>41549</v>
      </c>
      <c r="E5629" s="4" t="s">
        <v>2944</v>
      </c>
      <c r="F5629" s="4" t="s">
        <v>3164</v>
      </c>
    </row>
    <row r="5630" spans="1:6" x14ac:dyDescent="0.25">
      <c r="A5630" s="4" t="str">
        <f>CONCATENATE("3071-0000-5549","")</f>
        <v>3071-0000-5549</v>
      </c>
      <c r="B5630" s="4" t="s">
        <v>7360</v>
      </c>
      <c r="C5630" s="5">
        <v>41489</v>
      </c>
      <c r="D5630" s="5">
        <v>41549</v>
      </c>
      <c r="E5630" s="4" t="s">
        <v>5185</v>
      </c>
      <c r="F5630" s="4" t="s">
        <v>5185</v>
      </c>
    </row>
    <row r="5631" spans="1:6" x14ac:dyDescent="0.25">
      <c r="A5631" s="4" t="str">
        <f>CONCATENATE("3071-0000-1537","")</f>
        <v>3071-0000-1537</v>
      </c>
      <c r="B5631" s="4" t="s">
        <v>2749</v>
      </c>
      <c r="C5631" s="5">
        <v>41489</v>
      </c>
      <c r="D5631" s="5">
        <v>41549</v>
      </c>
      <c r="E5631" s="4" t="s">
        <v>1381</v>
      </c>
      <c r="F5631" s="4" t="s">
        <v>2303</v>
      </c>
    </row>
    <row r="5632" spans="1:6" x14ac:dyDescent="0.25">
      <c r="A5632" s="4" t="str">
        <f>CONCATENATE("3071-0000-1627","")</f>
        <v>3071-0000-1627</v>
      </c>
      <c r="B5632" s="4" t="s">
        <v>2392</v>
      </c>
      <c r="C5632" s="5">
        <v>41489</v>
      </c>
      <c r="D5632" s="5">
        <v>41549</v>
      </c>
      <c r="E5632" s="4" t="s">
        <v>1381</v>
      </c>
      <c r="F5632" s="4" t="s">
        <v>2303</v>
      </c>
    </row>
    <row r="5633" spans="1:6" x14ac:dyDescent="0.25">
      <c r="A5633" s="4" t="str">
        <f>CONCATENATE("3071-0000-2699","")</f>
        <v>3071-0000-2699</v>
      </c>
      <c r="B5633" s="4" t="s">
        <v>3158</v>
      </c>
      <c r="C5633" s="5">
        <v>41489</v>
      </c>
      <c r="D5633" s="5">
        <v>41549</v>
      </c>
      <c r="E5633" s="4" t="s">
        <v>2944</v>
      </c>
      <c r="F5633" s="4" t="s">
        <v>3115</v>
      </c>
    </row>
    <row r="5634" spans="1:6" x14ac:dyDescent="0.25">
      <c r="A5634" s="4" t="str">
        <f>CONCATENATE("3071-0000-6217","")</f>
        <v>3071-0000-6217</v>
      </c>
      <c r="B5634" s="4" t="s">
        <v>7402</v>
      </c>
      <c r="C5634" s="5">
        <v>41489</v>
      </c>
      <c r="D5634" s="5">
        <v>41549</v>
      </c>
      <c r="E5634" s="4" t="s">
        <v>1410</v>
      </c>
      <c r="F5634" s="4" t="s">
        <v>7309</v>
      </c>
    </row>
    <row r="5635" spans="1:6" x14ac:dyDescent="0.25">
      <c r="A5635" s="4" t="str">
        <f>CONCATENATE("3071-0000-5963","")</f>
        <v>3071-0000-5963</v>
      </c>
      <c r="B5635" s="4" t="s">
        <v>7372</v>
      </c>
      <c r="C5635" s="5">
        <v>41489</v>
      </c>
      <c r="D5635" s="5">
        <v>41549</v>
      </c>
      <c r="E5635" s="4" t="s">
        <v>5185</v>
      </c>
      <c r="F5635" s="4" t="s">
        <v>5185</v>
      </c>
    </row>
    <row r="5636" spans="1:6" x14ac:dyDescent="0.25">
      <c r="A5636" s="4" t="str">
        <f>CONCATENATE("3071-0000-1969","")</f>
        <v>3071-0000-1969</v>
      </c>
      <c r="B5636" s="4" t="s">
        <v>3098</v>
      </c>
      <c r="C5636" s="5">
        <v>41489</v>
      </c>
      <c r="D5636" s="5">
        <v>41549</v>
      </c>
      <c r="E5636" s="4" t="s">
        <v>2944</v>
      </c>
      <c r="F5636" s="4" t="s">
        <v>2945</v>
      </c>
    </row>
    <row r="5637" spans="1:6" x14ac:dyDescent="0.25">
      <c r="A5637" s="4" t="str">
        <f>CONCATENATE("3071-0000-2295","")</f>
        <v>3071-0000-2295</v>
      </c>
      <c r="B5637" s="4" t="s">
        <v>3806</v>
      </c>
      <c r="C5637" s="5">
        <v>41489</v>
      </c>
      <c r="D5637" s="5">
        <v>41549</v>
      </c>
      <c r="E5637" s="4" t="s">
        <v>2944</v>
      </c>
      <c r="F5637" s="4" t="s">
        <v>2945</v>
      </c>
    </row>
    <row r="5638" spans="1:6" x14ac:dyDescent="0.25">
      <c r="A5638" s="4" t="str">
        <f>CONCATENATE("3071-0000-4379","")</f>
        <v>3071-0000-4379</v>
      </c>
      <c r="B5638" s="4" t="s">
        <v>9227</v>
      </c>
      <c r="C5638" s="5">
        <v>41489</v>
      </c>
      <c r="D5638" s="5">
        <v>41549</v>
      </c>
      <c r="E5638" s="4" t="s">
        <v>1410</v>
      </c>
      <c r="F5638" s="4" t="s">
        <v>8696</v>
      </c>
    </row>
    <row r="5639" spans="1:6" x14ac:dyDescent="0.25">
      <c r="A5639" s="4" t="str">
        <f>CONCATENATE("3071-0000-2862","")</f>
        <v>3071-0000-2862</v>
      </c>
      <c r="B5639" s="4" t="s">
        <v>1373</v>
      </c>
      <c r="C5639" s="5">
        <v>41489</v>
      </c>
      <c r="D5639" s="5">
        <v>41549</v>
      </c>
      <c r="E5639" s="4" t="s">
        <v>7</v>
      </c>
      <c r="F5639" s="4" t="s">
        <v>808</v>
      </c>
    </row>
    <row r="5640" spans="1:6" x14ac:dyDescent="0.25">
      <c r="A5640" s="4" t="str">
        <f>CONCATENATE("3071-0000-7684","")</f>
        <v>3071-0000-7684</v>
      </c>
      <c r="B5640" s="4" t="s">
        <v>4577</v>
      </c>
      <c r="C5640" s="5">
        <v>41489</v>
      </c>
      <c r="D5640" s="5">
        <v>41549</v>
      </c>
      <c r="E5640" s="4" t="s">
        <v>1410</v>
      </c>
      <c r="F5640" s="4" t="s">
        <v>1410</v>
      </c>
    </row>
    <row r="5641" spans="1:6" x14ac:dyDescent="0.25">
      <c r="A5641" s="4" t="str">
        <f>CONCATENATE("3071-0000-3615","")</f>
        <v>3071-0000-3615</v>
      </c>
      <c r="B5641" s="4" t="s">
        <v>1479</v>
      </c>
      <c r="C5641" s="5">
        <v>41489</v>
      </c>
      <c r="D5641" s="5">
        <v>41549</v>
      </c>
      <c r="E5641" s="4" t="s">
        <v>1410</v>
      </c>
      <c r="F5641" s="4" t="s">
        <v>1411</v>
      </c>
    </row>
    <row r="5642" spans="1:6" x14ac:dyDescent="0.25">
      <c r="A5642" s="4" t="str">
        <f>CONCATENATE("3071-0000-9399","")</f>
        <v>3071-0000-9399</v>
      </c>
      <c r="B5642" s="4" t="s">
        <v>8480</v>
      </c>
      <c r="C5642" s="5">
        <v>41489</v>
      </c>
      <c r="D5642" s="5">
        <v>41549</v>
      </c>
      <c r="E5642" s="4" t="s">
        <v>1410</v>
      </c>
      <c r="F5642" s="4" t="s">
        <v>4459</v>
      </c>
    </row>
    <row r="5643" spans="1:6" x14ac:dyDescent="0.25">
      <c r="A5643" s="4" t="str">
        <f>CONCATENATE("3071-0000-6582","")</f>
        <v>3071-0000-6582</v>
      </c>
      <c r="B5643" s="4" t="s">
        <v>8196</v>
      </c>
      <c r="C5643" s="5">
        <v>41489</v>
      </c>
      <c r="D5643" s="5">
        <v>41549</v>
      </c>
      <c r="E5643" s="4" t="s">
        <v>5185</v>
      </c>
      <c r="F5643" s="4" t="s">
        <v>5185</v>
      </c>
    </row>
    <row r="5644" spans="1:6" x14ac:dyDescent="0.25">
      <c r="A5644" s="4" t="str">
        <f>CONCATENATE("3071-0000-6436","")</f>
        <v>3071-0000-6436</v>
      </c>
      <c r="B5644" s="4" t="s">
        <v>8145</v>
      </c>
      <c r="C5644" s="5">
        <v>41489</v>
      </c>
      <c r="D5644" s="5">
        <v>41549</v>
      </c>
      <c r="E5644" s="4" t="s">
        <v>5185</v>
      </c>
      <c r="F5644" s="4" t="s">
        <v>5185</v>
      </c>
    </row>
    <row r="5645" spans="1:6" x14ac:dyDescent="0.25">
      <c r="A5645" s="4" t="str">
        <f>CONCATENATE("3071-0000-9518","")</f>
        <v>3071-0000-9518</v>
      </c>
      <c r="B5645" s="4" t="s">
        <v>8411</v>
      </c>
      <c r="C5645" s="5">
        <v>41489</v>
      </c>
      <c r="D5645" s="5">
        <v>41549</v>
      </c>
      <c r="E5645" s="4" t="s">
        <v>1410</v>
      </c>
      <c r="F5645" s="4" t="s">
        <v>7967</v>
      </c>
    </row>
    <row r="5646" spans="1:6" x14ac:dyDescent="0.25">
      <c r="A5646" s="4" t="str">
        <f>CONCATENATE("3071-0000-9233","")</f>
        <v>3071-0000-9233</v>
      </c>
      <c r="B5646" s="4" t="s">
        <v>8319</v>
      </c>
      <c r="C5646" s="5">
        <v>41489</v>
      </c>
      <c r="D5646" s="5">
        <v>41549</v>
      </c>
      <c r="E5646" s="4" t="s">
        <v>5185</v>
      </c>
      <c r="F5646" s="4" t="s">
        <v>5185</v>
      </c>
    </row>
    <row r="5647" spans="1:6" x14ac:dyDescent="0.25">
      <c r="A5647" s="4" t="str">
        <f>CONCATENATE("3071-0000-6573","")</f>
        <v>3071-0000-6573</v>
      </c>
      <c r="B5647" s="4" t="s">
        <v>8076</v>
      </c>
      <c r="C5647" s="5">
        <v>41489</v>
      </c>
      <c r="D5647" s="5">
        <v>41549</v>
      </c>
      <c r="E5647" s="4" t="s">
        <v>5185</v>
      </c>
      <c r="F5647" s="4" t="s">
        <v>5185</v>
      </c>
    </row>
    <row r="5648" spans="1:6" x14ac:dyDescent="0.25">
      <c r="A5648" s="4" t="str">
        <f>CONCATENATE("3071-0000-6443","")</f>
        <v>3071-0000-6443</v>
      </c>
      <c r="B5648" s="4" t="s">
        <v>8082</v>
      </c>
      <c r="C5648" s="5">
        <v>41489</v>
      </c>
      <c r="D5648" s="5">
        <v>41549</v>
      </c>
      <c r="E5648" s="4" t="s">
        <v>5185</v>
      </c>
      <c r="F5648" s="4" t="s">
        <v>5185</v>
      </c>
    </row>
    <row r="5649" spans="1:6" x14ac:dyDescent="0.25">
      <c r="A5649" s="4" t="str">
        <f>CONCATENATE("3071-0000-6650","")</f>
        <v>3071-0000-6650</v>
      </c>
      <c r="B5649" s="4" t="s">
        <v>8239</v>
      </c>
      <c r="C5649" s="5">
        <v>41489</v>
      </c>
      <c r="D5649" s="5">
        <v>41549</v>
      </c>
      <c r="E5649" s="4" t="s">
        <v>5185</v>
      </c>
      <c r="F5649" s="4" t="s">
        <v>5185</v>
      </c>
    </row>
    <row r="5650" spans="1:6" x14ac:dyDescent="0.25">
      <c r="A5650" s="4" t="str">
        <f>CONCATENATE("3071-0000-6581","")</f>
        <v>3071-0000-6581</v>
      </c>
      <c r="B5650" s="4" t="s">
        <v>8209</v>
      </c>
      <c r="C5650" s="5">
        <v>41489</v>
      </c>
      <c r="D5650" s="5">
        <v>41549</v>
      </c>
      <c r="E5650" s="4" t="s">
        <v>5185</v>
      </c>
      <c r="F5650" s="4" t="s">
        <v>5185</v>
      </c>
    </row>
    <row r="5651" spans="1:6" x14ac:dyDescent="0.25">
      <c r="A5651" s="4" t="str">
        <f>CONCATENATE("3071-0000-1719","")</f>
        <v>3071-0000-1719</v>
      </c>
      <c r="B5651" s="4" t="s">
        <v>2890</v>
      </c>
      <c r="C5651" s="5">
        <v>41489</v>
      </c>
      <c r="D5651" s="5">
        <v>41549</v>
      </c>
      <c r="E5651" s="4" t="s">
        <v>1381</v>
      </c>
      <c r="F5651" s="4" t="s">
        <v>2840</v>
      </c>
    </row>
    <row r="5652" spans="1:6" x14ac:dyDescent="0.25">
      <c r="A5652" s="4" t="str">
        <f>CONCATENATE("3071-0000-2883","")</f>
        <v>3071-0000-2883</v>
      </c>
      <c r="B5652" s="4" t="s">
        <v>904</v>
      </c>
      <c r="C5652" s="5">
        <v>41489</v>
      </c>
      <c r="D5652" s="5">
        <v>41549</v>
      </c>
      <c r="E5652" s="4" t="s">
        <v>7</v>
      </c>
      <c r="F5652" s="4" t="s">
        <v>808</v>
      </c>
    </row>
    <row r="5653" spans="1:6" x14ac:dyDescent="0.25">
      <c r="A5653" s="4" t="str">
        <f>CONCATENATE("3071-0000-2590","")</f>
        <v>3071-0000-2590</v>
      </c>
      <c r="B5653" s="4" t="s">
        <v>3236</v>
      </c>
      <c r="C5653" s="5">
        <v>41489</v>
      </c>
      <c r="D5653" s="5">
        <v>41549</v>
      </c>
      <c r="E5653" s="4" t="s">
        <v>2944</v>
      </c>
      <c r="F5653" s="4" t="s">
        <v>3164</v>
      </c>
    </row>
    <row r="5654" spans="1:6" x14ac:dyDescent="0.25">
      <c r="A5654" s="4" t="str">
        <f>CONCATENATE("3071-0000-2158","")</f>
        <v>3071-0000-2158</v>
      </c>
      <c r="B5654" s="4" t="s">
        <v>3180</v>
      </c>
      <c r="C5654" s="5">
        <v>41489</v>
      </c>
      <c r="D5654" s="5">
        <v>41549</v>
      </c>
      <c r="E5654" s="4" t="s">
        <v>2944</v>
      </c>
      <c r="F5654" s="4" t="s">
        <v>2945</v>
      </c>
    </row>
    <row r="5655" spans="1:6" x14ac:dyDescent="0.25">
      <c r="A5655" s="4" t="str">
        <f>CONCATENATE("3071-0000-2770","")</f>
        <v>3071-0000-2770</v>
      </c>
      <c r="B5655" s="4" t="s">
        <v>918</v>
      </c>
      <c r="C5655" s="5">
        <v>41489</v>
      </c>
      <c r="D5655" s="5">
        <v>41549</v>
      </c>
      <c r="E5655" s="4" t="s">
        <v>7</v>
      </c>
      <c r="F5655" s="4" t="s">
        <v>808</v>
      </c>
    </row>
    <row r="5656" spans="1:6" x14ac:dyDescent="0.25">
      <c r="A5656" s="4" t="str">
        <f>CONCATENATE("3071-0000-4194","")</f>
        <v>3071-0000-4194</v>
      </c>
      <c r="B5656" s="4" t="s">
        <v>3947</v>
      </c>
      <c r="C5656" s="5">
        <v>41489</v>
      </c>
      <c r="D5656" s="5">
        <v>41549</v>
      </c>
      <c r="E5656" s="4" t="s">
        <v>7</v>
      </c>
      <c r="F5656" s="4" t="s">
        <v>1419</v>
      </c>
    </row>
    <row r="5657" spans="1:6" x14ac:dyDescent="0.25">
      <c r="A5657" s="4" t="str">
        <f>CONCATENATE("3071-0000-3806","")</f>
        <v>3071-0000-3806</v>
      </c>
      <c r="B5657" s="4" t="s">
        <v>3952</v>
      </c>
      <c r="C5657" s="5">
        <v>41489</v>
      </c>
      <c r="D5657" s="5">
        <v>41549</v>
      </c>
      <c r="E5657" s="4" t="s">
        <v>2944</v>
      </c>
      <c r="F5657" s="4" t="s">
        <v>3513</v>
      </c>
    </row>
    <row r="5658" spans="1:6" x14ac:dyDescent="0.25">
      <c r="A5658" s="4" t="str">
        <f>CONCATENATE("3071-0000-4564","")</f>
        <v>3071-0000-4564</v>
      </c>
      <c r="B5658" s="4" t="s">
        <v>9092</v>
      </c>
      <c r="C5658" s="5">
        <v>41489</v>
      </c>
      <c r="D5658" s="5">
        <v>41549</v>
      </c>
      <c r="E5658" s="4" t="s">
        <v>1410</v>
      </c>
      <c r="F5658" s="4" t="s">
        <v>8696</v>
      </c>
    </row>
    <row r="5659" spans="1:6" x14ac:dyDescent="0.25">
      <c r="A5659" s="4" t="str">
        <f>CONCATENATE("3071-0000-4539","")</f>
        <v>3071-0000-4539</v>
      </c>
      <c r="B5659" s="4" t="s">
        <v>9063</v>
      </c>
      <c r="C5659" s="5">
        <v>41489</v>
      </c>
      <c r="D5659" s="5">
        <v>41549</v>
      </c>
      <c r="E5659" s="4" t="s">
        <v>1410</v>
      </c>
      <c r="F5659" s="4" t="s">
        <v>8696</v>
      </c>
    </row>
    <row r="5660" spans="1:6" x14ac:dyDescent="0.25">
      <c r="A5660" s="4" t="str">
        <f>CONCATENATE("3071-0000-4114","")</f>
        <v>3071-0000-4114</v>
      </c>
      <c r="B5660" s="4" t="s">
        <v>4180</v>
      </c>
      <c r="C5660" s="5">
        <v>41489</v>
      </c>
      <c r="D5660" s="5">
        <v>41549</v>
      </c>
      <c r="E5660" s="4" t="s">
        <v>7</v>
      </c>
      <c r="F5660" s="4" t="s">
        <v>1419</v>
      </c>
    </row>
    <row r="5661" spans="1:6" x14ac:dyDescent="0.25">
      <c r="A5661" s="4" t="str">
        <f>CONCATENATE("3071-0000-0755","")</f>
        <v>3071-0000-0755</v>
      </c>
      <c r="B5661" s="4" t="s">
        <v>213</v>
      </c>
      <c r="C5661" s="5">
        <v>41489</v>
      </c>
      <c r="D5661" s="5">
        <v>41549</v>
      </c>
      <c r="E5661" s="4" t="s">
        <v>7</v>
      </c>
      <c r="F5661" s="4" t="s">
        <v>7</v>
      </c>
    </row>
    <row r="5662" spans="1:6" x14ac:dyDescent="0.25">
      <c r="A5662" s="4" t="str">
        <f>CONCATENATE("3071-0000-4062","")</f>
        <v>3071-0000-4062</v>
      </c>
      <c r="B5662" s="4" t="s">
        <v>3956</v>
      </c>
      <c r="C5662" s="5">
        <v>41489</v>
      </c>
      <c r="D5662" s="5">
        <v>41549</v>
      </c>
      <c r="E5662" s="4" t="s">
        <v>7</v>
      </c>
      <c r="F5662" s="4" t="s">
        <v>1419</v>
      </c>
    </row>
    <row r="5663" spans="1:6" x14ac:dyDescent="0.25">
      <c r="A5663" s="4" t="str">
        <f>CONCATENATE("3071-0000-0823","")</f>
        <v>3071-0000-0823</v>
      </c>
      <c r="B5663" s="4" t="s">
        <v>1883</v>
      </c>
      <c r="C5663" s="5">
        <v>41489</v>
      </c>
      <c r="D5663" s="5">
        <v>41549</v>
      </c>
      <c r="E5663" s="4" t="s">
        <v>1857</v>
      </c>
      <c r="F5663" s="4" t="s">
        <v>1857</v>
      </c>
    </row>
    <row r="5664" spans="1:6" x14ac:dyDescent="0.25">
      <c r="A5664" s="4" t="str">
        <f>CONCATENATE("3071-0000-2880","")</f>
        <v>3071-0000-2880</v>
      </c>
      <c r="B5664" s="4" t="s">
        <v>1156</v>
      </c>
      <c r="C5664" s="5">
        <v>41489</v>
      </c>
      <c r="D5664" s="5">
        <v>41549</v>
      </c>
      <c r="E5664" s="4" t="s">
        <v>7</v>
      </c>
      <c r="F5664" s="4" t="s">
        <v>808</v>
      </c>
    </row>
    <row r="5665" spans="1:6" x14ac:dyDescent="0.25">
      <c r="A5665" s="4" t="str">
        <f>CONCATENATE("3071-0000-2142","")</f>
        <v>3071-0000-2142</v>
      </c>
      <c r="B5665" s="4" t="s">
        <v>3575</v>
      </c>
      <c r="C5665" s="5">
        <v>41489</v>
      </c>
      <c r="D5665" s="5">
        <v>41549</v>
      </c>
      <c r="E5665" s="4" t="s">
        <v>2944</v>
      </c>
      <c r="F5665" s="4" t="s">
        <v>2945</v>
      </c>
    </row>
    <row r="5666" spans="1:6" x14ac:dyDescent="0.25">
      <c r="A5666" s="4" t="str">
        <f>CONCATENATE("3071-0000-3156","")</f>
        <v>3071-0000-3156</v>
      </c>
      <c r="B5666" s="4" t="s">
        <v>1086</v>
      </c>
      <c r="C5666" s="5">
        <v>41489</v>
      </c>
      <c r="D5666" s="5">
        <v>41549</v>
      </c>
      <c r="E5666" s="4" t="s">
        <v>7</v>
      </c>
      <c r="F5666" s="4" t="s">
        <v>808</v>
      </c>
    </row>
    <row r="5667" spans="1:6" x14ac:dyDescent="0.25">
      <c r="A5667" s="4" t="str">
        <f>CONCATENATE("3071-0000-2708","")</f>
        <v>3071-0000-2708</v>
      </c>
      <c r="B5667" s="4" t="s">
        <v>3292</v>
      </c>
      <c r="C5667" s="5">
        <v>41489</v>
      </c>
      <c r="D5667" s="5">
        <v>41549</v>
      </c>
      <c r="E5667" s="4" t="s">
        <v>2944</v>
      </c>
      <c r="F5667" s="4" t="s">
        <v>3280</v>
      </c>
    </row>
    <row r="5668" spans="1:6" x14ac:dyDescent="0.25">
      <c r="A5668" s="4" t="str">
        <f>CONCATENATE("3071-0000-0162","")</f>
        <v>3071-0000-0162</v>
      </c>
      <c r="B5668" s="4" t="s">
        <v>343</v>
      </c>
      <c r="C5668" s="5">
        <v>41489</v>
      </c>
      <c r="D5668" s="5">
        <v>41549</v>
      </c>
      <c r="E5668" s="4" t="s">
        <v>7</v>
      </c>
      <c r="F5668" s="4" t="s">
        <v>7</v>
      </c>
    </row>
    <row r="5669" spans="1:6" x14ac:dyDescent="0.25">
      <c r="A5669" s="4" t="str">
        <f>CONCATENATE("3071-0000-3185","")</f>
        <v>3071-0000-3185</v>
      </c>
      <c r="B5669" s="4" t="s">
        <v>855</v>
      </c>
      <c r="C5669" s="5">
        <v>41489</v>
      </c>
      <c r="D5669" s="5">
        <v>41549</v>
      </c>
      <c r="E5669" s="4" t="s">
        <v>7</v>
      </c>
      <c r="F5669" s="4" t="s">
        <v>812</v>
      </c>
    </row>
    <row r="5670" spans="1:6" x14ac:dyDescent="0.25">
      <c r="A5670" s="4" t="str">
        <f>CONCATENATE("3071-0000-2945","")</f>
        <v>3071-0000-2945</v>
      </c>
      <c r="B5670" s="4" t="s">
        <v>1335</v>
      </c>
      <c r="C5670" s="5">
        <v>41489</v>
      </c>
      <c r="D5670" s="5">
        <v>41549</v>
      </c>
      <c r="E5670" s="4" t="s">
        <v>7</v>
      </c>
      <c r="F5670" s="4" t="s">
        <v>808</v>
      </c>
    </row>
    <row r="5671" spans="1:6" x14ac:dyDescent="0.25">
      <c r="A5671" s="4" t="str">
        <f>CONCATENATE("3071-0000-2934","")</f>
        <v>3071-0000-2934</v>
      </c>
      <c r="B5671" s="4" t="s">
        <v>1309</v>
      </c>
      <c r="C5671" s="5">
        <v>41489</v>
      </c>
      <c r="D5671" s="5">
        <v>41549</v>
      </c>
      <c r="E5671" s="4" t="s">
        <v>7</v>
      </c>
      <c r="F5671" s="4" t="s">
        <v>808</v>
      </c>
    </row>
    <row r="5672" spans="1:6" x14ac:dyDescent="0.25">
      <c r="A5672" s="4" t="str">
        <f>CONCATENATE("3071-0000-2935","")</f>
        <v>3071-0000-2935</v>
      </c>
      <c r="B5672" s="4" t="s">
        <v>1300</v>
      </c>
      <c r="C5672" s="5">
        <v>41489</v>
      </c>
      <c r="D5672" s="5">
        <v>41549</v>
      </c>
      <c r="E5672" s="4" t="s">
        <v>7</v>
      </c>
      <c r="F5672" s="4" t="s">
        <v>808</v>
      </c>
    </row>
    <row r="5673" spans="1:6" x14ac:dyDescent="0.25">
      <c r="A5673" s="4" t="str">
        <f>CONCATENATE("3071-0000-0787","")</f>
        <v>3071-0000-0787</v>
      </c>
      <c r="B5673" s="4" t="s">
        <v>578</v>
      </c>
      <c r="C5673" s="5">
        <v>41489</v>
      </c>
      <c r="D5673" s="5">
        <v>41549</v>
      </c>
      <c r="E5673" s="4" t="s">
        <v>7</v>
      </c>
      <c r="F5673" s="4" t="s">
        <v>7</v>
      </c>
    </row>
    <row r="5674" spans="1:6" x14ac:dyDescent="0.25">
      <c r="A5674" s="4" t="str">
        <f>CONCATENATE("3071-0000-8784","")</f>
        <v>3071-0000-8784</v>
      </c>
      <c r="B5674" s="4" t="s">
        <v>6594</v>
      </c>
      <c r="C5674" s="5">
        <v>41489</v>
      </c>
      <c r="D5674" s="5">
        <v>41549</v>
      </c>
      <c r="E5674" s="4" t="s">
        <v>5185</v>
      </c>
      <c r="F5674" s="4" t="s">
        <v>5292</v>
      </c>
    </row>
    <row r="5675" spans="1:6" x14ac:dyDescent="0.25">
      <c r="A5675" s="4" t="str">
        <f>CONCATENATE("3071-0000-8980","")</f>
        <v>3071-0000-8980</v>
      </c>
      <c r="B5675" s="4" t="s">
        <v>6532</v>
      </c>
      <c r="C5675" s="5">
        <v>41489</v>
      </c>
      <c r="D5675" s="5">
        <v>41549</v>
      </c>
      <c r="E5675" s="4" t="s">
        <v>5185</v>
      </c>
      <c r="F5675" s="4" t="s">
        <v>5292</v>
      </c>
    </row>
    <row r="5676" spans="1:6" x14ac:dyDescent="0.25">
      <c r="A5676" s="4" t="str">
        <f>CONCATENATE("3071-0000-5403","")</f>
        <v>3071-0000-5403</v>
      </c>
      <c r="B5676" s="4" t="s">
        <v>6623</v>
      </c>
      <c r="C5676" s="5">
        <v>41489</v>
      </c>
      <c r="D5676" s="5">
        <v>41549</v>
      </c>
      <c r="E5676" s="4" t="s">
        <v>5185</v>
      </c>
      <c r="F5676" s="4" t="s">
        <v>5185</v>
      </c>
    </row>
    <row r="5677" spans="1:6" x14ac:dyDescent="0.25">
      <c r="A5677" s="4" t="str">
        <f>CONCATENATE("3071-0000-1247","")</f>
        <v>3071-0000-1247</v>
      </c>
      <c r="B5677" s="4" t="s">
        <v>2332</v>
      </c>
      <c r="C5677" s="5">
        <v>41489</v>
      </c>
      <c r="D5677" s="5">
        <v>41549</v>
      </c>
      <c r="E5677" s="4" t="s">
        <v>1381</v>
      </c>
      <c r="F5677" s="4" t="s">
        <v>2303</v>
      </c>
    </row>
    <row r="5678" spans="1:6" x14ac:dyDescent="0.25">
      <c r="A5678" s="4" t="str">
        <f>CONCATENATE("3071-0000-0717","")</f>
        <v>3071-0000-0717</v>
      </c>
      <c r="B5678" s="4" t="s">
        <v>509</v>
      </c>
      <c r="C5678" s="5">
        <v>41489</v>
      </c>
      <c r="D5678" s="5">
        <v>41549</v>
      </c>
      <c r="E5678" s="4" t="s">
        <v>7</v>
      </c>
      <c r="F5678" s="4" t="s">
        <v>7</v>
      </c>
    </row>
    <row r="5679" spans="1:6" x14ac:dyDescent="0.25">
      <c r="A5679" s="4" t="str">
        <f>CONCATENATE("3071-0000-7225","")</f>
        <v>3071-0000-7225</v>
      </c>
      <c r="B5679" s="4" t="s">
        <v>4986</v>
      </c>
      <c r="C5679" s="5">
        <v>41489</v>
      </c>
      <c r="D5679" s="5">
        <v>41549</v>
      </c>
      <c r="E5679" s="4" t="s">
        <v>1410</v>
      </c>
      <c r="F5679" s="4" t="s">
        <v>1410</v>
      </c>
    </row>
    <row r="5680" spans="1:6" x14ac:dyDescent="0.25">
      <c r="A5680" s="4" t="str">
        <f>CONCATENATE("3071-0000-3734","")</f>
        <v>3071-0000-3734</v>
      </c>
      <c r="B5680" s="4" t="s">
        <v>1662</v>
      </c>
      <c r="C5680" s="5">
        <v>41489</v>
      </c>
      <c r="D5680" s="5">
        <v>41549</v>
      </c>
      <c r="E5680" s="4" t="s">
        <v>1410</v>
      </c>
      <c r="F5680" s="4" t="s">
        <v>1601</v>
      </c>
    </row>
    <row r="5681" spans="1:6" x14ac:dyDescent="0.25">
      <c r="A5681" s="4" t="str">
        <f>CONCATENATE("3071-0000-9255","")</f>
        <v>3071-0000-9255</v>
      </c>
      <c r="B5681" s="4" t="s">
        <v>8617</v>
      </c>
      <c r="C5681" s="5">
        <v>41489</v>
      </c>
      <c r="D5681" s="5">
        <v>41549</v>
      </c>
      <c r="E5681" s="4" t="s">
        <v>5185</v>
      </c>
      <c r="F5681" s="4" t="s">
        <v>5185</v>
      </c>
    </row>
    <row r="5682" spans="1:6" x14ac:dyDescent="0.25">
      <c r="A5682" s="4" t="str">
        <f>CONCATENATE("3071-0000-9327","")</f>
        <v>3071-0000-9327</v>
      </c>
      <c r="B5682" s="4" t="s">
        <v>8629</v>
      </c>
      <c r="C5682" s="5">
        <v>41489</v>
      </c>
      <c r="D5682" s="5">
        <v>41549</v>
      </c>
      <c r="E5682" s="4" t="s">
        <v>5185</v>
      </c>
      <c r="F5682" s="4" t="s">
        <v>5185</v>
      </c>
    </row>
    <row r="5683" spans="1:6" x14ac:dyDescent="0.25">
      <c r="A5683" s="4" t="str">
        <f>CONCATENATE("3071-0000-9529","")</f>
        <v>3071-0000-9529</v>
      </c>
      <c r="B5683" s="4" t="s">
        <v>8656</v>
      </c>
      <c r="C5683" s="5">
        <v>41489</v>
      </c>
      <c r="D5683" s="5">
        <v>41549</v>
      </c>
      <c r="E5683" s="4" t="s">
        <v>1410</v>
      </c>
      <c r="F5683" s="4" t="s">
        <v>4459</v>
      </c>
    </row>
    <row r="5684" spans="1:6" x14ac:dyDescent="0.25">
      <c r="A5684" s="4" t="str">
        <f>CONCATENATE("3071-0000-5205","")</f>
        <v>3071-0000-5205</v>
      </c>
      <c r="B5684" s="4" t="s">
        <v>8741</v>
      </c>
      <c r="C5684" s="5">
        <v>41489</v>
      </c>
      <c r="D5684" s="5">
        <v>41549</v>
      </c>
      <c r="E5684" s="4" t="s">
        <v>1410</v>
      </c>
      <c r="F5684" s="4" t="s">
        <v>8696</v>
      </c>
    </row>
    <row r="5685" spans="1:6" x14ac:dyDescent="0.25">
      <c r="A5685" s="4" t="str">
        <f>CONCATENATE("3071-0000-4754","")</f>
        <v>3071-0000-4754</v>
      </c>
      <c r="B5685" s="4" t="s">
        <v>8886</v>
      </c>
      <c r="C5685" s="5">
        <v>41489</v>
      </c>
      <c r="D5685" s="5">
        <v>41549</v>
      </c>
      <c r="E5685" s="4" t="s">
        <v>1410</v>
      </c>
      <c r="F5685" s="4" t="s">
        <v>8696</v>
      </c>
    </row>
    <row r="5686" spans="1:6" x14ac:dyDescent="0.25">
      <c r="A5686" s="4" t="str">
        <f>CONCATENATE("3071-0000-4309","")</f>
        <v>3071-0000-4309</v>
      </c>
      <c r="B5686" s="4" t="s">
        <v>8875</v>
      </c>
      <c r="C5686" s="5">
        <v>41489</v>
      </c>
      <c r="D5686" s="5">
        <v>41549</v>
      </c>
      <c r="E5686" s="4" t="s">
        <v>1410</v>
      </c>
      <c r="F5686" s="4" t="s">
        <v>8696</v>
      </c>
    </row>
    <row r="5687" spans="1:6" x14ac:dyDescent="0.25">
      <c r="A5687" s="4" t="str">
        <f>CONCATENATE("3071-0000-3369","")</f>
        <v>3071-0000-3369</v>
      </c>
      <c r="B5687" s="4" t="s">
        <v>1510</v>
      </c>
      <c r="C5687" s="5">
        <v>41489</v>
      </c>
      <c r="D5687" s="5">
        <v>41549</v>
      </c>
      <c r="E5687" s="4" t="s">
        <v>1410</v>
      </c>
      <c r="F5687" s="4" t="s">
        <v>1411</v>
      </c>
    </row>
    <row r="5688" spans="1:6" x14ac:dyDescent="0.25">
      <c r="A5688" s="4" t="str">
        <f>CONCATENATE("3071-0000-3161","")</f>
        <v>3071-0000-3161</v>
      </c>
      <c r="B5688" s="4" t="s">
        <v>894</v>
      </c>
      <c r="C5688" s="5">
        <v>41489</v>
      </c>
      <c r="D5688" s="5">
        <v>41549</v>
      </c>
      <c r="E5688" s="4" t="s">
        <v>7</v>
      </c>
      <c r="F5688" s="4" t="s">
        <v>812</v>
      </c>
    </row>
    <row r="5689" spans="1:6" x14ac:dyDescent="0.25">
      <c r="A5689" s="4" t="str">
        <f>CONCATENATE("3071-0000-0290","")</f>
        <v>3071-0000-0290</v>
      </c>
      <c r="B5689" s="4" t="s">
        <v>664</v>
      </c>
      <c r="C5689" s="5">
        <v>41489</v>
      </c>
      <c r="D5689" s="5">
        <v>41549</v>
      </c>
      <c r="E5689" s="4" t="s">
        <v>7</v>
      </c>
      <c r="F5689" s="4" t="s">
        <v>7</v>
      </c>
    </row>
    <row r="5690" spans="1:6" x14ac:dyDescent="0.25">
      <c r="A5690" s="4" t="str">
        <f>CONCATENATE("3071-0000-2199","")</f>
        <v>3071-0000-2199</v>
      </c>
      <c r="B5690" s="4" t="s">
        <v>3701</v>
      </c>
      <c r="C5690" s="5">
        <v>41489</v>
      </c>
      <c r="D5690" s="5">
        <v>41549</v>
      </c>
      <c r="E5690" s="4" t="s">
        <v>2944</v>
      </c>
      <c r="F5690" s="4" t="s">
        <v>2945</v>
      </c>
    </row>
    <row r="5691" spans="1:6" x14ac:dyDescent="0.25">
      <c r="A5691" s="4" t="str">
        <f>CONCATENATE("3071-0000-2816","")</f>
        <v>3071-0000-2816</v>
      </c>
      <c r="B5691" s="4" t="s">
        <v>1028</v>
      </c>
      <c r="C5691" s="5">
        <v>41489</v>
      </c>
      <c r="D5691" s="5">
        <v>41549</v>
      </c>
      <c r="E5691" s="4" t="s">
        <v>7</v>
      </c>
      <c r="F5691" s="4" t="s">
        <v>808</v>
      </c>
    </row>
    <row r="5692" spans="1:6" x14ac:dyDescent="0.25">
      <c r="A5692" s="4" t="str">
        <f>CONCATENATE("3071-0000-2091","")</f>
        <v>3071-0000-2091</v>
      </c>
      <c r="B5692" s="4" t="s">
        <v>3477</v>
      </c>
      <c r="C5692" s="5">
        <v>41489</v>
      </c>
      <c r="D5692" s="5">
        <v>41549</v>
      </c>
      <c r="E5692" s="4" t="s">
        <v>2944</v>
      </c>
      <c r="F5692" s="4" t="s">
        <v>2945</v>
      </c>
    </row>
    <row r="5693" spans="1:6" x14ac:dyDescent="0.25">
      <c r="A5693" s="4" t="str">
        <f>CONCATENATE("3071-0000-4005","")</f>
        <v>3071-0000-4005</v>
      </c>
      <c r="B5693" s="4" t="s">
        <v>3865</v>
      </c>
      <c r="C5693" s="5">
        <v>41489</v>
      </c>
      <c r="D5693" s="5">
        <v>41549</v>
      </c>
      <c r="E5693" s="4" t="s">
        <v>2944</v>
      </c>
      <c r="F5693" s="4" t="s">
        <v>3513</v>
      </c>
    </row>
    <row r="5694" spans="1:6" x14ac:dyDescent="0.25">
      <c r="A5694" s="4" t="str">
        <f>CONCATENATE("3071-0000-1100","")</f>
        <v>3071-0000-1100</v>
      </c>
      <c r="B5694" s="4" t="s">
        <v>2164</v>
      </c>
      <c r="C5694" s="5">
        <v>41489</v>
      </c>
      <c r="D5694" s="5">
        <v>41549</v>
      </c>
      <c r="E5694" s="4" t="s">
        <v>1857</v>
      </c>
      <c r="F5694" s="4" t="s">
        <v>2144</v>
      </c>
    </row>
    <row r="5695" spans="1:6" x14ac:dyDescent="0.25">
      <c r="A5695" s="4" t="str">
        <f>CONCATENATE("3071-0000-0964","")</f>
        <v>3071-0000-0964</v>
      </c>
      <c r="B5695" s="4" t="s">
        <v>2161</v>
      </c>
      <c r="C5695" s="5">
        <v>41489</v>
      </c>
      <c r="D5695" s="5">
        <v>41549</v>
      </c>
      <c r="E5695" s="4" t="s">
        <v>1857</v>
      </c>
      <c r="F5695" s="4" t="s">
        <v>1857</v>
      </c>
    </row>
    <row r="5696" spans="1:6" x14ac:dyDescent="0.25">
      <c r="A5696" s="4" t="str">
        <f>CONCATENATE("3071-0000-0948","")</f>
        <v>3071-0000-0948</v>
      </c>
      <c r="B5696" s="4" t="s">
        <v>2162</v>
      </c>
      <c r="C5696" s="5">
        <v>41489</v>
      </c>
      <c r="D5696" s="5">
        <v>41549</v>
      </c>
      <c r="E5696" s="4" t="s">
        <v>1857</v>
      </c>
      <c r="F5696" s="4" t="s">
        <v>1857</v>
      </c>
    </row>
    <row r="5697" spans="1:6" x14ac:dyDescent="0.25">
      <c r="A5697" s="4" t="str">
        <f>CONCATENATE("3071-0000-6718","")</f>
        <v>3071-0000-6718</v>
      </c>
      <c r="B5697" s="4" t="s">
        <v>8185</v>
      </c>
      <c r="C5697" s="5">
        <v>41489</v>
      </c>
      <c r="D5697" s="5">
        <v>41549</v>
      </c>
      <c r="E5697" s="4" t="s">
        <v>5185</v>
      </c>
      <c r="F5697" s="4" t="s">
        <v>5185</v>
      </c>
    </row>
    <row r="5698" spans="1:6" x14ac:dyDescent="0.25">
      <c r="A5698" s="4" t="str">
        <f>CONCATENATE("3071-0000-7091","")</f>
        <v>3071-0000-7091</v>
      </c>
      <c r="B5698" s="4" t="s">
        <v>4685</v>
      </c>
      <c r="C5698" s="5">
        <v>41489</v>
      </c>
      <c r="D5698" s="5">
        <v>41549</v>
      </c>
      <c r="E5698" s="4" t="s">
        <v>1410</v>
      </c>
      <c r="F5698" s="4" t="s">
        <v>1410</v>
      </c>
    </row>
    <row r="5699" spans="1:6" x14ac:dyDescent="0.25">
      <c r="A5699" s="4" t="str">
        <f>CONCATENATE("3071-0000-5930","")</f>
        <v>3071-0000-5930</v>
      </c>
      <c r="B5699" s="4" t="s">
        <v>7056</v>
      </c>
      <c r="C5699" s="5">
        <v>41489</v>
      </c>
      <c r="D5699" s="5">
        <v>41549</v>
      </c>
      <c r="E5699" s="4" t="s">
        <v>5185</v>
      </c>
      <c r="F5699" s="4" t="s">
        <v>5185</v>
      </c>
    </row>
    <row r="5700" spans="1:6" x14ac:dyDescent="0.25">
      <c r="A5700" s="4" t="str">
        <f>CONCATENATE("3071-0000-6902","")</f>
        <v>3071-0000-6902</v>
      </c>
      <c r="B5700" s="4" t="s">
        <v>4288</v>
      </c>
      <c r="C5700" s="5">
        <v>41489</v>
      </c>
      <c r="D5700" s="5">
        <v>41549</v>
      </c>
      <c r="E5700" s="4" t="s">
        <v>1410</v>
      </c>
      <c r="F5700" s="4" t="s">
        <v>1410</v>
      </c>
    </row>
    <row r="5701" spans="1:6" x14ac:dyDescent="0.25">
      <c r="A5701" s="4" t="str">
        <f>CONCATENATE("3071-0000-6989","")</f>
        <v>3071-0000-6989</v>
      </c>
      <c r="B5701" s="4" t="s">
        <v>4393</v>
      </c>
      <c r="C5701" s="5">
        <v>41489</v>
      </c>
      <c r="D5701" s="5">
        <v>41549</v>
      </c>
      <c r="E5701" s="4" t="s">
        <v>1410</v>
      </c>
      <c r="F5701" s="4" t="s">
        <v>1410</v>
      </c>
    </row>
    <row r="5702" spans="1:6" x14ac:dyDescent="0.25">
      <c r="A5702" s="4" t="str">
        <f>CONCATENATE("3071-0000-7292","")</f>
        <v>3071-0000-7292</v>
      </c>
      <c r="B5702" s="4" t="s">
        <v>4653</v>
      </c>
      <c r="C5702" s="5">
        <v>41489</v>
      </c>
      <c r="D5702" s="5">
        <v>41549</v>
      </c>
      <c r="E5702" s="4" t="s">
        <v>1410</v>
      </c>
      <c r="F5702" s="4" t="s">
        <v>1410</v>
      </c>
    </row>
    <row r="5703" spans="1:6" x14ac:dyDescent="0.25">
      <c r="A5703" s="4" t="str">
        <f>CONCATENATE("3071-0000-7306","")</f>
        <v>3071-0000-7306</v>
      </c>
      <c r="B5703" s="4" t="s">
        <v>4593</v>
      </c>
      <c r="C5703" s="5">
        <v>41489</v>
      </c>
      <c r="D5703" s="5">
        <v>41549</v>
      </c>
      <c r="E5703" s="4" t="s">
        <v>1410</v>
      </c>
      <c r="F5703" s="4" t="s">
        <v>1410</v>
      </c>
    </row>
    <row r="5704" spans="1:6" x14ac:dyDescent="0.25">
      <c r="A5704" s="4" t="str">
        <f>CONCATENATE("3071-0000-5447","")</f>
        <v>3071-0000-5447</v>
      </c>
      <c r="B5704" s="4" t="s">
        <v>6661</v>
      </c>
      <c r="C5704" s="5">
        <v>41489</v>
      </c>
      <c r="D5704" s="5">
        <v>41549</v>
      </c>
      <c r="E5704" s="4" t="s">
        <v>5185</v>
      </c>
      <c r="F5704" s="4" t="s">
        <v>5185</v>
      </c>
    </row>
    <row r="5705" spans="1:6" x14ac:dyDescent="0.25">
      <c r="A5705" s="4" t="str">
        <f>CONCATENATE("3071-0000-4408","")</f>
        <v>3071-0000-4408</v>
      </c>
      <c r="B5705" s="4" t="s">
        <v>9269</v>
      </c>
      <c r="C5705" s="5">
        <v>41489</v>
      </c>
      <c r="D5705" s="5">
        <v>41549</v>
      </c>
      <c r="E5705" s="4" t="s">
        <v>1410</v>
      </c>
      <c r="F5705" s="4" t="s">
        <v>8696</v>
      </c>
    </row>
    <row r="5706" spans="1:6" x14ac:dyDescent="0.25">
      <c r="A5706" s="4" t="str">
        <f>CONCATENATE("3071-0000-4637","")</f>
        <v>3071-0000-4637</v>
      </c>
      <c r="B5706" s="4" t="s">
        <v>9395</v>
      </c>
      <c r="C5706" s="5">
        <v>41489</v>
      </c>
      <c r="D5706" s="5">
        <v>41549</v>
      </c>
      <c r="E5706" s="4" t="s">
        <v>1410</v>
      </c>
      <c r="F5706" s="4" t="s">
        <v>8696</v>
      </c>
    </row>
    <row r="5707" spans="1:6" x14ac:dyDescent="0.25">
      <c r="A5707" s="4" t="str">
        <f>CONCATENATE("3071-0000-9568","")</f>
        <v>3071-0000-9568</v>
      </c>
      <c r="B5707" s="4" t="s">
        <v>8403</v>
      </c>
      <c r="C5707" s="5">
        <v>41489</v>
      </c>
      <c r="D5707" s="5">
        <v>41549</v>
      </c>
      <c r="E5707" s="4" t="s">
        <v>1410</v>
      </c>
      <c r="F5707" s="4" t="s">
        <v>4459</v>
      </c>
    </row>
    <row r="5708" spans="1:6" x14ac:dyDescent="0.25">
      <c r="A5708" s="4" t="str">
        <f>CONCATENATE("3071-0000-3890","")</f>
        <v>3071-0000-3890</v>
      </c>
      <c r="B5708" s="4" t="s">
        <v>4108</v>
      </c>
      <c r="C5708" s="5">
        <v>41489</v>
      </c>
      <c r="D5708" s="5">
        <v>41549</v>
      </c>
      <c r="E5708" s="4" t="s">
        <v>2944</v>
      </c>
      <c r="F5708" s="4" t="s">
        <v>3513</v>
      </c>
    </row>
    <row r="5709" spans="1:6" x14ac:dyDescent="0.25">
      <c r="A5709" s="4" t="str">
        <f>CONCATENATE("3071-0000-3661","")</f>
        <v>3071-0000-3661</v>
      </c>
      <c r="B5709" s="4" t="s">
        <v>1535</v>
      </c>
      <c r="C5709" s="5">
        <v>41489</v>
      </c>
      <c r="D5709" s="5">
        <v>41549</v>
      </c>
      <c r="E5709" s="4" t="s">
        <v>1410</v>
      </c>
      <c r="F5709" s="4" t="s">
        <v>1411</v>
      </c>
    </row>
    <row r="5710" spans="1:6" x14ac:dyDescent="0.25">
      <c r="A5710" s="4" t="str">
        <f>CONCATENATE("3071-0000-7754","")</f>
        <v>3071-0000-7754</v>
      </c>
      <c r="B5710" s="4" t="s">
        <v>4600</v>
      </c>
      <c r="C5710" s="5">
        <v>41489</v>
      </c>
      <c r="D5710" s="5">
        <v>41549</v>
      </c>
      <c r="E5710" s="4" t="s">
        <v>1410</v>
      </c>
      <c r="F5710" s="4" t="s">
        <v>1410</v>
      </c>
    </row>
    <row r="5711" spans="1:6" x14ac:dyDescent="0.25">
      <c r="A5711" s="4" t="str">
        <f>CONCATENATE("3071-0000-3531","")</f>
        <v>3071-0000-3531</v>
      </c>
      <c r="B5711" s="4" t="s">
        <v>1539</v>
      </c>
      <c r="C5711" s="5">
        <v>41489</v>
      </c>
      <c r="D5711" s="5">
        <v>41549</v>
      </c>
      <c r="E5711" s="4" t="s">
        <v>1410</v>
      </c>
      <c r="F5711" s="4" t="s">
        <v>1411</v>
      </c>
    </row>
    <row r="5712" spans="1:6" x14ac:dyDescent="0.25">
      <c r="A5712" s="4" t="str">
        <f>CONCATENATE("3071-0000-4841","")</f>
        <v>3071-0000-4841</v>
      </c>
      <c r="B5712" s="4" t="s">
        <v>8857</v>
      </c>
      <c r="C5712" s="5">
        <v>41489</v>
      </c>
      <c r="D5712" s="5">
        <v>41549</v>
      </c>
      <c r="E5712" s="4" t="s">
        <v>1410</v>
      </c>
      <c r="F5712" s="4" t="s">
        <v>8696</v>
      </c>
    </row>
    <row r="5713" spans="1:6" x14ac:dyDescent="0.25">
      <c r="A5713" s="4" t="str">
        <f>CONCATENATE("3071-0000-0003","")</f>
        <v>3071-0000-0003</v>
      </c>
      <c r="B5713" s="4" t="s">
        <v>8</v>
      </c>
      <c r="C5713" s="5">
        <v>41489</v>
      </c>
      <c r="D5713" s="5">
        <v>41549</v>
      </c>
      <c r="E5713" s="4" t="s">
        <v>7</v>
      </c>
      <c r="F5713" s="4" t="s">
        <v>7</v>
      </c>
    </row>
    <row r="5714" spans="1:6" x14ac:dyDescent="0.25">
      <c r="A5714" s="4" t="str">
        <f>CONCATENATE("3071-0000-3870","")</f>
        <v>3071-0000-3870</v>
      </c>
      <c r="B5714" s="4" t="s">
        <v>4019</v>
      </c>
      <c r="C5714" s="5">
        <v>41489</v>
      </c>
      <c r="D5714" s="5">
        <v>41549</v>
      </c>
      <c r="E5714" s="4" t="s">
        <v>1381</v>
      </c>
      <c r="F5714" s="4" t="s">
        <v>3994</v>
      </c>
    </row>
    <row r="5715" spans="1:6" x14ac:dyDescent="0.25">
      <c r="A5715" s="4" t="str">
        <f>CONCATENATE("3071-0000-4308","")</f>
        <v>3071-0000-4308</v>
      </c>
      <c r="B5715" s="4" t="s">
        <v>8870</v>
      </c>
      <c r="C5715" s="5">
        <v>41489</v>
      </c>
      <c r="D5715" s="5">
        <v>41549</v>
      </c>
      <c r="E5715" s="4" t="s">
        <v>1410</v>
      </c>
      <c r="F5715" s="4" t="s">
        <v>8696</v>
      </c>
    </row>
    <row r="5716" spans="1:6" x14ac:dyDescent="0.25">
      <c r="A5716" s="4" t="str">
        <f>CONCATENATE("3071-0000-4305","")</f>
        <v>3071-0000-4305</v>
      </c>
      <c r="B5716" s="4" t="s">
        <v>8878</v>
      </c>
      <c r="C5716" s="5">
        <v>41489</v>
      </c>
      <c r="D5716" s="5">
        <v>41549</v>
      </c>
      <c r="E5716" s="4" t="s">
        <v>1410</v>
      </c>
      <c r="F5716" s="4" t="s">
        <v>8696</v>
      </c>
    </row>
    <row r="5717" spans="1:6" x14ac:dyDescent="0.25">
      <c r="A5717" s="4" t="str">
        <f>CONCATENATE("3071-0000-6908","")</f>
        <v>3071-0000-6908</v>
      </c>
      <c r="B5717" s="4" t="s">
        <v>4280</v>
      </c>
      <c r="C5717" s="5">
        <v>41489</v>
      </c>
      <c r="D5717" s="5">
        <v>41549</v>
      </c>
      <c r="E5717" s="4" t="s">
        <v>1410</v>
      </c>
      <c r="F5717" s="4" t="s">
        <v>1410</v>
      </c>
    </row>
    <row r="5718" spans="1:6" x14ac:dyDescent="0.25">
      <c r="A5718" s="4" t="str">
        <f>CONCATENATE("3071-0000-2231","")</f>
        <v>3071-0000-2231</v>
      </c>
      <c r="B5718" s="4" t="s">
        <v>3752</v>
      </c>
      <c r="C5718" s="5">
        <v>41489</v>
      </c>
      <c r="D5718" s="5">
        <v>41549</v>
      </c>
      <c r="E5718" s="4" t="s">
        <v>2944</v>
      </c>
      <c r="F5718" s="4" t="s">
        <v>2945</v>
      </c>
    </row>
    <row r="5719" spans="1:6" x14ac:dyDescent="0.25">
      <c r="A5719" s="4" t="str">
        <f>CONCATENATE("3071-0000-2232","")</f>
        <v>3071-0000-2232</v>
      </c>
      <c r="B5719" s="4" t="s">
        <v>3753</v>
      </c>
      <c r="C5719" s="5">
        <v>41489</v>
      </c>
      <c r="D5719" s="5">
        <v>41549</v>
      </c>
      <c r="E5719" s="4" t="s">
        <v>2944</v>
      </c>
      <c r="F5719" s="4" t="s">
        <v>2945</v>
      </c>
    </row>
    <row r="5720" spans="1:6" x14ac:dyDescent="0.25">
      <c r="A5720" s="4" t="str">
        <f>CONCATENATE("3071-0000-2229","")</f>
        <v>3071-0000-2229</v>
      </c>
      <c r="B5720" s="4" t="s">
        <v>3751</v>
      </c>
      <c r="C5720" s="5">
        <v>41489</v>
      </c>
      <c r="D5720" s="5">
        <v>41549</v>
      </c>
      <c r="E5720" s="4" t="s">
        <v>2944</v>
      </c>
      <c r="F5720" s="4" t="s">
        <v>2945</v>
      </c>
    </row>
    <row r="5721" spans="1:6" x14ac:dyDescent="0.25">
      <c r="A5721" s="4" t="str">
        <f>CONCATENATE("3071-0000-2734","")</f>
        <v>3071-0000-2734</v>
      </c>
      <c r="B5721" s="4" t="s">
        <v>809</v>
      </c>
      <c r="C5721" s="5">
        <v>41489</v>
      </c>
      <c r="D5721" s="5">
        <v>41549</v>
      </c>
      <c r="E5721" s="4" t="s">
        <v>7</v>
      </c>
      <c r="F5721" s="4" t="s">
        <v>808</v>
      </c>
    </row>
    <row r="5722" spans="1:6" x14ac:dyDescent="0.25">
      <c r="A5722" s="4" t="str">
        <f>CONCATENATE("3071-0000-2391","")</f>
        <v>3071-0000-2391</v>
      </c>
      <c r="B5722" s="4" t="s">
        <v>3201</v>
      </c>
      <c r="C5722" s="5">
        <v>41489</v>
      </c>
      <c r="D5722" s="5">
        <v>41549</v>
      </c>
      <c r="E5722" s="4" t="s">
        <v>2944</v>
      </c>
      <c r="F5722" s="4" t="s">
        <v>3164</v>
      </c>
    </row>
    <row r="5723" spans="1:6" x14ac:dyDescent="0.25">
      <c r="A5723" s="4" t="str">
        <f>CONCATENATE("3071-0000-2506","")</f>
        <v>3071-0000-2506</v>
      </c>
      <c r="B5723" s="4" t="s">
        <v>3628</v>
      </c>
      <c r="C5723" s="5">
        <v>41489</v>
      </c>
      <c r="D5723" s="5">
        <v>41549</v>
      </c>
      <c r="E5723" s="4" t="s">
        <v>2944</v>
      </c>
      <c r="F5723" s="4" t="s">
        <v>3567</v>
      </c>
    </row>
    <row r="5724" spans="1:6" x14ac:dyDescent="0.25">
      <c r="A5724" s="4" t="str">
        <f>CONCATENATE("3071-0000-3133","")</f>
        <v>3071-0000-3133</v>
      </c>
      <c r="B5724" s="4" t="s">
        <v>875</v>
      </c>
      <c r="C5724" s="5">
        <v>41489</v>
      </c>
      <c r="D5724" s="5">
        <v>41549</v>
      </c>
      <c r="E5724" s="4" t="s">
        <v>7</v>
      </c>
      <c r="F5724" s="4" t="s">
        <v>812</v>
      </c>
    </row>
    <row r="5725" spans="1:6" x14ac:dyDescent="0.25">
      <c r="A5725" s="4" t="str">
        <f>CONCATENATE("3071-0000-8428","")</f>
        <v>3071-0000-8428</v>
      </c>
      <c r="B5725" s="4" t="s">
        <v>5276</v>
      </c>
      <c r="C5725" s="5">
        <v>41489</v>
      </c>
      <c r="D5725" s="5">
        <v>41549</v>
      </c>
      <c r="E5725" s="4" t="s">
        <v>5185</v>
      </c>
      <c r="F5725" s="4" t="s">
        <v>5185</v>
      </c>
    </row>
    <row r="5726" spans="1:6" x14ac:dyDescent="0.25">
      <c r="A5726" s="4" t="str">
        <f>CONCATENATE("3071-0000-0581","")</f>
        <v>3071-0000-0581</v>
      </c>
      <c r="B5726" s="4" t="s">
        <v>513</v>
      </c>
      <c r="C5726" s="5">
        <v>41489</v>
      </c>
      <c r="D5726" s="5">
        <v>41549</v>
      </c>
      <c r="E5726" s="4" t="s">
        <v>7</v>
      </c>
      <c r="F5726" s="4" t="s">
        <v>7</v>
      </c>
    </row>
    <row r="5727" spans="1:6" x14ac:dyDescent="0.25">
      <c r="A5727" s="4" t="str">
        <f>CONCATENATE("3071-0000-2301","")</f>
        <v>3071-0000-2301</v>
      </c>
      <c r="B5727" s="4" t="s">
        <v>3739</v>
      </c>
      <c r="C5727" s="5">
        <v>41489</v>
      </c>
      <c r="D5727" s="5">
        <v>41549</v>
      </c>
      <c r="E5727" s="4" t="s">
        <v>2944</v>
      </c>
      <c r="F5727" s="4" t="s">
        <v>3593</v>
      </c>
    </row>
    <row r="5728" spans="1:6" x14ac:dyDescent="0.25">
      <c r="A5728" s="4" t="str">
        <f>CONCATENATE("3071-0000-1903","")</f>
        <v>3071-0000-1903</v>
      </c>
      <c r="B5728" s="4" t="s">
        <v>2993</v>
      </c>
      <c r="C5728" s="5">
        <v>41489</v>
      </c>
      <c r="D5728" s="5">
        <v>41549</v>
      </c>
      <c r="E5728" s="4" t="s">
        <v>2944</v>
      </c>
      <c r="F5728" s="4" t="s">
        <v>2945</v>
      </c>
    </row>
    <row r="5729" spans="1:6" x14ac:dyDescent="0.25">
      <c r="A5729" s="4" t="str">
        <f>CONCATENATE("3071-0000-2300","")</f>
        <v>3071-0000-2300</v>
      </c>
      <c r="B5729" s="4" t="s">
        <v>3558</v>
      </c>
      <c r="C5729" s="5">
        <v>41489</v>
      </c>
      <c r="D5729" s="5">
        <v>41549</v>
      </c>
      <c r="E5729" s="4" t="s">
        <v>2944</v>
      </c>
      <c r="F5729" s="4" t="s">
        <v>2945</v>
      </c>
    </row>
    <row r="5730" spans="1:6" x14ac:dyDescent="0.25">
      <c r="A5730" s="4" t="str">
        <f>CONCATENATE("3071-0000-2210","")</f>
        <v>3071-0000-2210</v>
      </c>
      <c r="B5730" s="4" t="s">
        <v>3281</v>
      </c>
      <c r="C5730" s="5">
        <v>41489</v>
      </c>
      <c r="D5730" s="5">
        <v>41549</v>
      </c>
      <c r="E5730" s="4" t="s">
        <v>2944</v>
      </c>
      <c r="F5730" s="4" t="s">
        <v>2945</v>
      </c>
    </row>
    <row r="5731" spans="1:6" x14ac:dyDescent="0.25">
      <c r="A5731" s="4" t="str">
        <f>CONCATENATE("3071-0000-1910","")</f>
        <v>3071-0000-1910</v>
      </c>
      <c r="B5731" s="4" t="s">
        <v>2994</v>
      </c>
      <c r="C5731" s="5">
        <v>41489</v>
      </c>
      <c r="D5731" s="5">
        <v>41549</v>
      </c>
      <c r="E5731" s="4" t="s">
        <v>2944</v>
      </c>
      <c r="F5731" s="4" t="s">
        <v>2945</v>
      </c>
    </row>
    <row r="5732" spans="1:6" x14ac:dyDescent="0.25">
      <c r="A5732" s="4" t="str">
        <f>CONCATENATE("3071-0000-1907","")</f>
        <v>3071-0000-1907</v>
      </c>
      <c r="B5732" s="4" t="s">
        <v>2970</v>
      </c>
      <c r="C5732" s="5">
        <v>41489</v>
      </c>
      <c r="D5732" s="5">
        <v>41549</v>
      </c>
      <c r="E5732" s="4" t="s">
        <v>2944</v>
      </c>
      <c r="F5732" s="4" t="s">
        <v>2945</v>
      </c>
    </row>
    <row r="5733" spans="1:6" x14ac:dyDescent="0.25">
      <c r="A5733" s="4" t="str">
        <f>CONCATENATE("3071-0000-2715","")</f>
        <v>3071-0000-2715</v>
      </c>
      <c r="B5733" s="4" t="s">
        <v>3551</v>
      </c>
      <c r="C5733" s="5">
        <v>41489</v>
      </c>
      <c r="D5733" s="5">
        <v>41549</v>
      </c>
      <c r="E5733" s="4" t="s">
        <v>2944</v>
      </c>
      <c r="F5733" s="4" t="s">
        <v>3515</v>
      </c>
    </row>
    <row r="5734" spans="1:6" x14ac:dyDescent="0.25">
      <c r="A5734" s="4" t="str">
        <f>CONCATENATE("3071-0000-8043","")</f>
        <v>3071-0000-8043</v>
      </c>
      <c r="B5734" s="4" t="s">
        <v>5776</v>
      </c>
      <c r="C5734" s="5">
        <v>41489</v>
      </c>
      <c r="D5734" s="5">
        <v>41549</v>
      </c>
      <c r="E5734" s="4" t="s">
        <v>5185</v>
      </c>
      <c r="F5734" s="4" t="s">
        <v>5185</v>
      </c>
    </row>
    <row r="5735" spans="1:6" x14ac:dyDescent="0.25">
      <c r="A5735" s="4" t="str">
        <f>CONCATENATE("3071-0000-8514","")</f>
        <v>3071-0000-8514</v>
      </c>
      <c r="B5735" s="4" t="s">
        <v>5772</v>
      </c>
      <c r="C5735" s="5">
        <v>41489</v>
      </c>
      <c r="D5735" s="5">
        <v>41549</v>
      </c>
      <c r="E5735" s="4" t="s">
        <v>5185</v>
      </c>
      <c r="F5735" s="4" t="s">
        <v>5763</v>
      </c>
    </row>
    <row r="5736" spans="1:6" x14ac:dyDescent="0.25">
      <c r="A5736" s="4" t="str">
        <f>CONCATENATE("3071-0000-8492","")</f>
        <v>3071-0000-8492</v>
      </c>
      <c r="B5736" s="4" t="s">
        <v>6031</v>
      </c>
      <c r="C5736" s="5">
        <v>41489</v>
      </c>
      <c r="D5736" s="5">
        <v>41549</v>
      </c>
      <c r="E5736" s="4" t="s">
        <v>5185</v>
      </c>
      <c r="F5736" s="4" t="s">
        <v>5945</v>
      </c>
    </row>
    <row r="5737" spans="1:6" x14ac:dyDescent="0.25">
      <c r="A5737" s="4" t="str">
        <f>CONCATENATE("3071-0000-8208","")</f>
        <v>3071-0000-8208</v>
      </c>
      <c r="B5737" s="4" t="s">
        <v>5845</v>
      </c>
      <c r="C5737" s="5">
        <v>41489</v>
      </c>
      <c r="D5737" s="5">
        <v>41549</v>
      </c>
      <c r="E5737" s="4" t="s">
        <v>5185</v>
      </c>
      <c r="F5737" s="4" t="s">
        <v>5185</v>
      </c>
    </row>
    <row r="5738" spans="1:6" x14ac:dyDescent="0.25">
      <c r="A5738" s="4" t="str">
        <f>CONCATENATE("3071-0000-8046","")</f>
        <v>3071-0000-8046</v>
      </c>
      <c r="B5738" s="4" t="s">
        <v>5778</v>
      </c>
      <c r="C5738" s="5">
        <v>41489</v>
      </c>
      <c r="D5738" s="5">
        <v>41549</v>
      </c>
      <c r="E5738" s="4" t="s">
        <v>5185</v>
      </c>
      <c r="F5738" s="4" t="s">
        <v>5185</v>
      </c>
    </row>
    <row r="5739" spans="1:6" x14ac:dyDescent="0.25">
      <c r="A5739" s="4" t="str">
        <f>CONCATENATE("3071-0000-8321","")</f>
        <v>3071-0000-8321</v>
      </c>
      <c r="B5739" s="4" t="s">
        <v>5222</v>
      </c>
      <c r="C5739" s="5">
        <v>41489</v>
      </c>
      <c r="D5739" s="5">
        <v>41549</v>
      </c>
      <c r="E5739" s="4" t="s">
        <v>5185</v>
      </c>
      <c r="F5739" s="4" t="s">
        <v>5185</v>
      </c>
    </row>
    <row r="5740" spans="1:6" x14ac:dyDescent="0.25">
      <c r="A5740" s="4" t="str">
        <f>CONCATENATE("3071-0000-6995","")</f>
        <v>3071-0000-6995</v>
      </c>
      <c r="B5740" s="4" t="s">
        <v>4412</v>
      </c>
      <c r="C5740" s="5">
        <v>41489</v>
      </c>
      <c r="D5740" s="5">
        <v>41549</v>
      </c>
      <c r="E5740" s="4" t="s">
        <v>1410</v>
      </c>
      <c r="F5740" s="4" t="s">
        <v>1410</v>
      </c>
    </row>
    <row r="5741" spans="1:6" x14ac:dyDescent="0.25">
      <c r="A5741" s="4" t="str">
        <f>CONCATENATE("3071-0000-7702","")</f>
        <v>3071-0000-7702</v>
      </c>
      <c r="B5741" s="4" t="s">
        <v>4978</v>
      </c>
      <c r="C5741" s="5">
        <v>41489</v>
      </c>
      <c r="D5741" s="5">
        <v>41549</v>
      </c>
      <c r="E5741" s="4" t="s">
        <v>1410</v>
      </c>
      <c r="F5741" s="4" t="s">
        <v>4616</v>
      </c>
    </row>
    <row r="5742" spans="1:6" x14ac:dyDescent="0.25">
      <c r="A5742" s="4" t="str">
        <f>CONCATENATE("3071-0000-3416","")</f>
        <v>3071-0000-3416</v>
      </c>
      <c r="B5742" s="4" t="s">
        <v>1597</v>
      </c>
      <c r="C5742" s="5">
        <v>41489</v>
      </c>
      <c r="D5742" s="5">
        <v>41549</v>
      </c>
      <c r="E5742" s="4" t="s">
        <v>1410</v>
      </c>
      <c r="F5742" s="4" t="s">
        <v>1411</v>
      </c>
    </row>
    <row r="5743" spans="1:6" x14ac:dyDescent="0.25">
      <c r="A5743" s="4" t="str">
        <f>CONCATENATE("3071-0000-3406","")</f>
        <v>3071-0000-3406</v>
      </c>
      <c r="B5743" s="4" t="s">
        <v>1568</v>
      </c>
      <c r="C5743" s="5">
        <v>41489</v>
      </c>
      <c r="D5743" s="5">
        <v>41549</v>
      </c>
      <c r="E5743" s="4" t="s">
        <v>1410</v>
      </c>
      <c r="F5743" s="4" t="s">
        <v>1411</v>
      </c>
    </row>
    <row r="5744" spans="1:6" x14ac:dyDescent="0.25">
      <c r="A5744" s="4" t="str">
        <f>CONCATENATE("3071-0000-0416","")</f>
        <v>3071-0000-0416</v>
      </c>
      <c r="B5744" s="4" t="s">
        <v>512</v>
      </c>
      <c r="C5744" s="5">
        <v>41489</v>
      </c>
      <c r="D5744" s="5">
        <v>41549</v>
      </c>
      <c r="E5744" s="4" t="s">
        <v>7</v>
      </c>
      <c r="F5744" s="4" t="s">
        <v>7</v>
      </c>
    </row>
    <row r="5745" spans="1:6" x14ac:dyDescent="0.25">
      <c r="A5745" s="4" t="str">
        <f>CONCATENATE("3071-0000-0751","")</f>
        <v>3071-0000-0751</v>
      </c>
      <c r="B5745" s="4" t="s">
        <v>800</v>
      </c>
      <c r="C5745" s="5">
        <v>41489</v>
      </c>
      <c r="D5745" s="5">
        <v>41549</v>
      </c>
      <c r="E5745" s="4" t="s">
        <v>7</v>
      </c>
      <c r="F5745" s="4" t="s">
        <v>7</v>
      </c>
    </row>
    <row r="5746" spans="1:6" x14ac:dyDescent="0.25">
      <c r="A5746" s="4" t="str">
        <f>CONCATENATE("3071-0000-4653","")</f>
        <v>3071-0000-4653</v>
      </c>
      <c r="B5746" s="4" t="s">
        <v>9151</v>
      </c>
      <c r="C5746" s="5">
        <v>41489</v>
      </c>
      <c r="D5746" s="5">
        <v>41549</v>
      </c>
      <c r="E5746" s="4" t="s">
        <v>1410</v>
      </c>
      <c r="F5746" s="4" t="s">
        <v>8696</v>
      </c>
    </row>
    <row r="5747" spans="1:6" x14ac:dyDescent="0.25">
      <c r="A5747" s="4" t="str">
        <f>CONCATENATE("3071-0000-4614","")</f>
        <v>3071-0000-4614</v>
      </c>
      <c r="B5747" s="4" t="s">
        <v>9143</v>
      </c>
      <c r="C5747" s="5">
        <v>41489</v>
      </c>
      <c r="D5747" s="5">
        <v>41549</v>
      </c>
      <c r="E5747" s="4" t="s">
        <v>1410</v>
      </c>
      <c r="F5747" s="4" t="s">
        <v>8696</v>
      </c>
    </row>
    <row r="5748" spans="1:6" x14ac:dyDescent="0.25">
      <c r="A5748" s="4" t="str">
        <f>CONCATENATE("3071-0000-4974","")</f>
        <v>3071-0000-4974</v>
      </c>
      <c r="B5748" s="4" t="s">
        <v>9147</v>
      </c>
      <c r="C5748" s="5">
        <v>41489</v>
      </c>
      <c r="D5748" s="5">
        <v>41549</v>
      </c>
      <c r="E5748" s="4" t="s">
        <v>7069</v>
      </c>
      <c r="F5748" s="4" t="s">
        <v>9125</v>
      </c>
    </row>
    <row r="5749" spans="1:6" x14ac:dyDescent="0.25">
      <c r="A5749" s="4" t="str">
        <f>CONCATENATE("3071-0000-7012","")</f>
        <v>3071-0000-7012</v>
      </c>
      <c r="B5749" s="4" t="s">
        <v>4667</v>
      </c>
      <c r="C5749" s="5">
        <v>41489</v>
      </c>
      <c r="D5749" s="5">
        <v>41549</v>
      </c>
      <c r="E5749" s="4" t="s">
        <v>1410</v>
      </c>
      <c r="F5749" s="4" t="s">
        <v>1410</v>
      </c>
    </row>
    <row r="5750" spans="1:6" x14ac:dyDescent="0.25">
      <c r="A5750" s="4" t="str">
        <f>CONCATENATE("3071-0000-6861","")</f>
        <v>3071-0000-6861</v>
      </c>
      <c r="B5750" s="4" t="s">
        <v>8000</v>
      </c>
      <c r="C5750" s="5">
        <v>41489</v>
      </c>
      <c r="D5750" s="5">
        <v>41549</v>
      </c>
      <c r="E5750" s="4" t="s">
        <v>1410</v>
      </c>
      <c r="F5750" s="4" t="s">
        <v>7967</v>
      </c>
    </row>
    <row r="5751" spans="1:6" x14ac:dyDescent="0.25">
      <c r="A5751" s="4" t="str">
        <f>CONCATENATE("3071-0000-5482","")</f>
        <v>3071-0000-5482</v>
      </c>
      <c r="B5751" s="4" t="s">
        <v>6634</v>
      </c>
      <c r="C5751" s="5">
        <v>41489</v>
      </c>
      <c r="D5751" s="5">
        <v>41549</v>
      </c>
      <c r="E5751" s="4" t="s">
        <v>1410</v>
      </c>
      <c r="F5751" s="4" t="s">
        <v>6635</v>
      </c>
    </row>
    <row r="5752" spans="1:6" x14ac:dyDescent="0.25">
      <c r="A5752" s="4" t="str">
        <f>CONCATENATE("3071-0000-9235","")</f>
        <v>3071-0000-9235</v>
      </c>
      <c r="B5752" s="4" t="s">
        <v>8329</v>
      </c>
      <c r="C5752" s="5">
        <v>41489</v>
      </c>
      <c r="D5752" s="5">
        <v>41549</v>
      </c>
      <c r="E5752" s="4" t="s">
        <v>5185</v>
      </c>
      <c r="F5752" s="4" t="s">
        <v>5185</v>
      </c>
    </row>
    <row r="5753" spans="1:6" x14ac:dyDescent="0.25">
      <c r="A5753" s="4" t="str">
        <f>CONCATENATE("3071-0000-1994","")</f>
        <v>3071-0000-1994</v>
      </c>
      <c r="B5753" s="4" t="s">
        <v>3141</v>
      </c>
      <c r="C5753" s="5">
        <v>41489</v>
      </c>
      <c r="D5753" s="5">
        <v>41549</v>
      </c>
      <c r="E5753" s="4" t="s">
        <v>2944</v>
      </c>
      <c r="F5753" s="4" t="s">
        <v>2945</v>
      </c>
    </row>
    <row r="5754" spans="1:6" x14ac:dyDescent="0.25">
      <c r="A5754" s="4" t="str">
        <f>CONCATENATE("3071-0000-2306","")</f>
        <v>3071-0000-2306</v>
      </c>
      <c r="B5754" s="4" t="s">
        <v>3570</v>
      </c>
      <c r="C5754" s="5">
        <v>41489</v>
      </c>
      <c r="D5754" s="5">
        <v>41549</v>
      </c>
      <c r="E5754" s="4" t="s">
        <v>2944</v>
      </c>
      <c r="F5754" s="4" t="s">
        <v>2945</v>
      </c>
    </row>
    <row r="5755" spans="1:6" x14ac:dyDescent="0.25">
      <c r="A5755" s="4" t="str">
        <f>CONCATENATE("3071-0000-7558","")</f>
        <v>3071-0000-7558</v>
      </c>
      <c r="B5755" s="4" t="s">
        <v>4383</v>
      </c>
      <c r="C5755" s="5">
        <v>41489</v>
      </c>
      <c r="D5755" s="5">
        <v>41549</v>
      </c>
      <c r="E5755" s="4" t="s">
        <v>1410</v>
      </c>
      <c r="F5755" s="4" t="s">
        <v>1410</v>
      </c>
    </row>
    <row r="5756" spans="1:6" x14ac:dyDescent="0.25">
      <c r="A5756" s="4" t="str">
        <f>CONCATENATE("3071-0000-9209","")</f>
        <v>3071-0000-9209</v>
      </c>
      <c r="B5756" s="4" t="s">
        <v>8282</v>
      </c>
      <c r="C5756" s="5">
        <v>41489</v>
      </c>
      <c r="D5756" s="5">
        <v>41549</v>
      </c>
      <c r="E5756" s="4" t="s">
        <v>5185</v>
      </c>
      <c r="F5756" s="4" t="s">
        <v>5185</v>
      </c>
    </row>
    <row r="5757" spans="1:6" x14ac:dyDescent="0.25">
      <c r="A5757" s="4" t="str">
        <f>CONCATENATE("3071-0000-6574","")</f>
        <v>3071-0000-6574</v>
      </c>
      <c r="B5757" s="4" t="s">
        <v>8198</v>
      </c>
      <c r="C5757" s="5">
        <v>41489</v>
      </c>
      <c r="D5757" s="5">
        <v>41549</v>
      </c>
      <c r="E5757" s="4" t="s">
        <v>5185</v>
      </c>
      <c r="F5757" s="4" t="s">
        <v>5185</v>
      </c>
    </row>
    <row r="5758" spans="1:6" x14ac:dyDescent="0.25">
      <c r="A5758" s="4" t="str">
        <f>CONCATENATE("3071-0000-2538","")</f>
        <v>3071-0000-2538</v>
      </c>
      <c r="B5758" s="4" t="s">
        <v>3778</v>
      </c>
      <c r="C5758" s="5">
        <v>41489</v>
      </c>
      <c r="D5758" s="5">
        <v>41549</v>
      </c>
      <c r="E5758" s="4" t="s">
        <v>2944</v>
      </c>
      <c r="F5758" s="4" t="s">
        <v>3115</v>
      </c>
    </row>
    <row r="5759" spans="1:6" x14ac:dyDescent="0.25">
      <c r="A5759" s="4" t="str">
        <f>CONCATENATE("3071-0000-6408","")</f>
        <v>3071-0000-6408</v>
      </c>
      <c r="B5759" s="4" t="s">
        <v>8068</v>
      </c>
      <c r="C5759" s="5">
        <v>41489</v>
      </c>
      <c r="D5759" s="5">
        <v>41549</v>
      </c>
      <c r="E5759" s="4" t="s">
        <v>5185</v>
      </c>
      <c r="F5759" s="4" t="s">
        <v>5185</v>
      </c>
    </row>
    <row r="5760" spans="1:6" x14ac:dyDescent="0.25">
      <c r="A5760" s="4" t="str">
        <f>CONCATENATE("3071-0000-3260","")</f>
        <v>3071-0000-3260</v>
      </c>
      <c r="B5760" s="4" t="s">
        <v>978</v>
      </c>
      <c r="C5760" s="5">
        <v>41489</v>
      </c>
      <c r="D5760" s="5">
        <v>41549</v>
      </c>
      <c r="E5760" s="4" t="s">
        <v>7</v>
      </c>
      <c r="F5760" s="4" t="s">
        <v>808</v>
      </c>
    </row>
    <row r="5761" spans="1:6" x14ac:dyDescent="0.25">
      <c r="A5761" s="4" t="str">
        <f>CONCATENATE("3071-0000-9283","")</f>
        <v>3071-0000-9283</v>
      </c>
      <c r="B5761" s="4" t="s">
        <v>8328</v>
      </c>
      <c r="C5761" s="5">
        <v>41489</v>
      </c>
      <c r="D5761" s="5">
        <v>41549</v>
      </c>
      <c r="E5761" s="4" t="s">
        <v>1410</v>
      </c>
      <c r="F5761" s="4" t="s">
        <v>7967</v>
      </c>
    </row>
    <row r="5762" spans="1:6" x14ac:dyDescent="0.25">
      <c r="A5762" s="4" t="str">
        <f>CONCATENATE("3071-0000-6635","")</f>
        <v>3071-0000-6635</v>
      </c>
      <c r="B5762" s="4" t="s">
        <v>8231</v>
      </c>
      <c r="C5762" s="5">
        <v>41489</v>
      </c>
      <c r="D5762" s="5">
        <v>41549</v>
      </c>
      <c r="E5762" s="4" t="s">
        <v>5185</v>
      </c>
      <c r="F5762" s="4" t="s">
        <v>5185</v>
      </c>
    </row>
    <row r="5763" spans="1:6" x14ac:dyDescent="0.25">
      <c r="A5763" s="4" t="str">
        <f>CONCATENATE("3071-0000-6632","")</f>
        <v>3071-0000-6632</v>
      </c>
      <c r="B5763" s="4" t="s">
        <v>8228</v>
      </c>
      <c r="C5763" s="5">
        <v>41489</v>
      </c>
      <c r="D5763" s="5">
        <v>41549</v>
      </c>
      <c r="E5763" s="4" t="s">
        <v>5185</v>
      </c>
      <c r="F5763" s="4" t="s">
        <v>5185</v>
      </c>
    </row>
    <row r="5764" spans="1:6" x14ac:dyDescent="0.25">
      <c r="A5764" s="4" t="str">
        <f>CONCATENATE("3071-0000-6585","")</f>
        <v>3071-0000-6585</v>
      </c>
      <c r="B5764" s="4" t="s">
        <v>8206</v>
      </c>
      <c r="C5764" s="5">
        <v>41489</v>
      </c>
      <c r="D5764" s="5">
        <v>41549</v>
      </c>
      <c r="E5764" s="4" t="s">
        <v>5185</v>
      </c>
      <c r="F5764" s="4" t="s">
        <v>5185</v>
      </c>
    </row>
    <row r="5765" spans="1:6" x14ac:dyDescent="0.25">
      <c r="A5765" s="4" t="str">
        <f>CONCATENATE("3071-0000-6484","")</f>
        <v>3071-0000-6484</v>
      </c>
      <c r="B5765" s="4" t="s">
        <v>7769</v>
      </c>
      <c r="C5765" s="5">
        <v>41489</v>
      </c>
      <c r="D5765" s="5">
        <v>41549</v>
      </c>
      <c r="E5765" s="4" t="s">
        <v>5185</v>
      </c>
      <c r="F5765" s="4" t="s">
        <v>5185</v>
      </c>
    </row>
    <row r="5766" spans="1:6" x14ac:dyDescent="0.25">
      <c r="A5766" s="4" t="str">
        <f>CONCATENATE("3071-0000-6485","")</f>
        <v>3071-0000-6485</v>
      </c>
      <c r="B5766" s="4" t="s">
        <v>7768</v>
      </c>
      <c r="C5766" s="5">
        <v>41489</v>
      </c>
      <c r="D5766" s="5">
        <v>41549</v>
      </c>
      <c r="E5766" s="4" t="s">
        <v>5185</v>
      </c>
      <c r="F5766" s="4" t="s">
        <v>5185</v>
      </c>
    </row>
    <row r="5767" spans="1:6" x14ac:dyDescent="0.25">
      <c r="A5767" s="4" t="str">
        <f>CONCATENATE("3071-0000-2426","")</f>
        <v>3071-0000-2426</v>
      </c>
      <c r="B5767" s="4" t="s">
        <v>3745</v>
      </c>
      <c r="C5767" s="5">
        <v>41489</v>
      </c>
      <c r="D5767" s="5">
        <v>41549</v>
      </c>
      <c r="E5767" s="4" t="s">
        <v>2944</v>
      </c>
      <c r="F5767" s="4" t="s">
        <v>3593</v>
      </c>
    </row>
    <row r="5768" spans="1:6" x14ac:dyDescent="0.25">
      <c r="A5768" s="4" t="str">
        <f>CONCATENATE("3071-0000-0228","")</f>
        <v>3071-0000-0228</v>
      </c>
      <c r="B5768" s="4" t="s">
        <v>478</v>
      </c>
      <c r="C5768" s="5">
        <v>41489</v>
      </c>
      <c r="D5768" s="5">
        <v>41549</v>
      </c>
      <c r="E5768" s="4" t="s">
        <v>7</v>
      </c>
      <c r="F5768" s="4" t="s">
        <v>7</v>
      </c>
    </row>
    <row r="5769" spans="1:6" x14ac:dyDescent="0.25">
      <c r="A5769" s="4" t="str">
        <f>CONCATENATE("3071-0000-9500","")</f>
        <v>3071-0000-9500</v>
      </c>
      <c r="B5769" s="4" t="s">
        <v>8562</v>
      </c>
      <c r="C5769" s="5">
        <v>41489</v>
      </c>
      <c r="D5769" s="5">
        <v>41549</v>
      </c>
      <c r="E5769" s="4" t="s">
        <v>1410</v>
      </c>
      <c r="F5769" s="4" t="s">
        <v>4459</v>
      </c>
    </row>
    <row r="5770" spans="1:6" x14ac:dyDescent="0.25">
      <c r="A5770" s="4" t="str">
        <f>CONCATENATE("3071-0000-8646","")</f>
        <v>3071-0000-8646</v>
      </c>
      <c r="B5770" s="4" t="s">
        <v>6428</v>
      </c>
      <c r="C5770" s="5">
        <v>41489</v>
      </c>
      <c r="D5770" s="5">
        <v>41549</v>
      </c>
      <c r="E5770" s="4" t="s">
        <v>5185</v>
      </c>
      <c r="F5770" s="4" t="s">
        <v>5945</v>
      </c>
    </row>
    <row r="5771" spans="1:6" x14ac:dyDescent="0.25">
      <c r="A5771" s="4" t="str">
        <f>CONCATENATE("3071-0000-8213","")</f>
        <v>3071-0000-8213</v>
      </c>
      <c r="B5771" s="4" t="s">
        <v>5523</v>
      </c>
      <c r="C5771" s="5">
        <v>41489</v>
      </c>
      <c r="D5771" s="5">
        <v>41549</v>
      </c>
      <c r="E5771" s="4" t="s">
        <v>5185</v>
      </c>
      <c r="F5771" s="4" t="s">
        <v>5185</v>
      </c>
    </row>
    <row r="5772" spans="1:6" x14ac:dyDescent="0.25">
      <c r="A5772" s="4" t="str">
        <f>CONCATENATE("3071-0000-5005","")</f>
        <v>3071-0000-5005</v>
      </c>
      <c r="B5772" s="4" t="s">
        <v>8697</v>
      </c>
      <c r="C5772" s="5">
        <v>41489</v>
      </c>
      <c r="D5772" s="5">
        <v>41549</v>
      </c>
      <c r="E5772" s="4" t="s">
        <v>1410</v>
      </c>
      <c r="F5772" s="4" t="s">
        <v>8696</v>
      </c>
    </row>
    <row r="5773" spans="1:6" x14ac:dyDescent="0.25">
      <c r="A5773" s="4" t="str">
        <f>CONCATENATE("3071-0000-0805","")</f>
        <v>3071-0000-0805</v>
      </c>
      <c r="B5773" s="4" t="s">
        <v>1862</v>
      </c>
      <c r="C5773" s="5">
        <v>41489</v>
      </c>
      <c r="D5773" s="5">
        <v>41549</v>
      </c>
      <c r="E5773" s="4" t="s">
        <v>1857</v>
      </c>
      <c r="F5773" s="4" t="s">
        <v>1857</v>
      </c>
    </row>
    <row r="5774" spans="1:6" x14ac:dyDescent="0.25">
      <c r="A5774" s="4" t="str">
        <f>CONCATENATE("3071-0000-1077","")</f>
        <v>3071-0000-1077</v>
      </c>
      <c r="B5774" s="4" t="s">
        <v>1866</v>
      </c>
      <c r="C5774" s="5">
        <v>41489</v>
      </c>
      <c r="D5774" s="5">
        <v>41549</v>
      </c>
      <c r="E5774" s="4" t="s">
        <v>1857</v>
      </c>
      <c r="F5774" s="4" t="s">
        <v>1857</v>
      </c>
    </row>
    <row r="5775" spans="1:6" x14ac:dyDescent="0.25">
      <c r="A5775" s="4" t="str">
        <f>CONCATENATE("3071-0000-0979","")</f>
        <v>3071-0000-0979</v>
      </c>
      <c r="B5775" s="4" t="s">
        <v>1995</v>
      </c>
      <c r="C5775" s="5">
        <v>41489</v>
      </c>
      <c r="D5775" s="5">
        <v>41549</v>
      </c>
      <c r="E5775" s="4" t="s">
        <v>1857</v>
      </c>
      <c r="F5775" s="4" t="s">
        <v>1857</v>
      </c>
    </row>
    <row r="5776" spans="1:6" x14ac:dyDescent="0.25">
      <c r="A5776" s="4" t="str">
        <f>CONCATENATE("3071-0000-0837","")</f>
        <v>3071-0000-0837</v>
      </c>
      <c r="B5776" s="4" t="s">
        <v>1907</v>
      </c>
      <c r="C5776" s="5">
        <v>41489</v>
      </c>
      <c r="D5776" s="5">
        <v>41549</v>
      </c>
      <c r="E5776" s="4" t="s">
        <v>1857</v>
      </c>
      <c r="F5776" s="4" t="s">
        <v>1857</v>
      </c>
    </row>
    <row r="5777" spans="1:6" x14ac:dyDescent="0.25">
      <c r="A5777" s="4" t="str">
        <f>CONCATENATE("3071-0000-0900","")</f>
        <v>3071-0000-0900</v>
      </c>
      <c r="B5777" s="4" t="s">
        <v>1976</v>
      </c>
      <c r="C5777" s="5">
        <v>41489</v>
      </c>
      <c r="D5777" s="5">
        <v>41549</v>
      </c>
      <c r="E5777" s="4" t="s">
        <v>1857</v>
      </c>
      <c r="F5777" s="4" t="s">
        <v>1857</v>
      </c>
    </row>
    <row r="5778" spans="1:6" x14ac:dyDescent="0.25">
      <c r="A5778" s="4" t="str">
        <f>CONCATENATE("3071-0000-1064","")</f>
        <v>3071-0000-1064</v>
      </c>
      <c r="B5778" s="4" t="s">
        <v>2023</v>
      </c>
      <c r="C5778" s="5">
        <v>41489</v>
      </c>
      <c r="D5778" s="5">
        <v>41549</v>
      </c>
      <c r="E5778" s="4" t="s">
        <v>1857</v>
      </c>
      <c r="F5778" s="4" t="s">
        <v>1857</v>
      </c>
    </row>
    <row r="5779" spans="1:6" x14ac:dyDescent="0.25">
      <c r="A5779" s="4" t="str">
        <f>CONCATENATE("3071-0000-0475","")</f>
        <v>3071-0000-0475</v>
      </c>
      <c r="B5779" s="4" t="s">
        <v>543</v>
      </c>
      <c r="C5779" s="5">
        <v>41489</v>
      </c>
      <c r="D5779" s="5">
        <v>41549</v>
      </c>
      <c r="E5779" s="4" t="s">
        <v>7</v>
      </c>
      <c r="F5779" s="4" t="s">
        <v>7</v>
      </c>
    </row>
    <row r="5780" spans="1:6" x14ac:dyDescent="0.25">
      <c r="A5780" s="4" t="str">
        <f>CONCATENATE("3071-0000-0806","")</f>
        <v>3071-0000-0806</v>
      </c>
      <c r="B5780" s="4" t="s">
        <v>1863</v>
      </c>
      <c r="C5780" s="5">
        <v>41489</v>
      </c>
      <c r="D5780" s="5">
        <v>41549</v>
      </c>
      <c r="E5780" s="4" t="s">
        <v>1857</v>
      </c>
      <c r="F5780" s="4" t="s">
        <v>1857</v>
      </c>
    </row>
    <row r="5781" spans="1:6" x14ac:dyDescent="0.25">
      <c r="A5781" s="4" t="str">
        <f>CONCATENATE("3071-0000-1461","")</f>
        <v>3071-0000-1461</v>
      </c>
      <c r="B5781" s="4" t="s">
        <v>2905</v>
      </c>
      <c r="C5781" s="5">
        <v>41489</v>
      </c>
      <c r="D5781" s="5">
        <v>41549</v>
      </c>
      <c r="E5781" s="4" t="s">
        <v>1381</v>
      </c>
      <c r="F5781" s="4" t="s">
        <v>2303</v>
      </c>
    </row>
    <row r="5782" spans="1:6" x14ac:dyDescent="0.25">
      <c r="A5782" s="4" t="str">
        <f>CONCATENATE("3071-0000-8894","")</f>
        <v>3071-0000-8894</v>
      </c>
      <c r="B5782" s="4" t="s">
        <v>5648</v>
      </c>
      <c r="C5782" s="5">
        <v>41489</v>
      </c>
      <c r="D5782" s="5">
        <v>41549</v>
      </c>
      <c r="E5782" s="4" t="s">
        <v>5185</v>
      </c>
      <c r="F5782" s="4" t="s">
        <v>5250</v>
      </c>
    </row>
    <row r="5783" spans="1:6" x14ac:dyDescent="0.25">
      <c r="A5783" s="4" t="str">
        <f>CONCATENATE("3071-0000-8027","")</f>
        <v>3071-0000-8027</v>
      </c>
      <c r="B5783" s="4" t="s">
        <v>5691</v>
      </c>
      <c r="C5783" s="5">
        <v>41489</v>
      </c>
      <c r="D5783" s="5">
        <v>41549</v>
      </c>
      <c r="E5783" s="4" t="s">
        <v>5185</v>
      </c>
      <c r="F5783" s="4" t="s">
        <v>5185</v>
      </c>
    </row>
    <row r="5784" spans="1:6" x14ac:dyDescent="0.25">
      <c r="A5784" s="4" t="str">
        <f>CONCATENATE("3071-0000-8076","")</f>
        <v>3071-0000-8076</v>
      </c>
      <c r="B5784" s="4" t="s">
        <v>5912</v>
      </c>
      <c r="C5784" s="5">
        <v>41489</v>
      </c>
      <c r="D5784" s="5">
        <v>41549</v>
      </c>
      <c r="E5784" s="4" t="s">
        <v>5185</v>
      </c>
      <c r="F5784" s="4" t="s">
        <v>5185</v>
      </c>
    </row>
    <row r="5785" spans="1:6" x14ac:dyDescent="0.25">
      <c r="A5785" s="4" t="str">
        <f>CONCATENATE("3071-0000-8141","")</f>
        <v>3071-0000-8141</v>
      </c>
      <c r="B5785" s="4" t="s">
        <v>5645</v>
      </c>
      <c r="C5785" s="5">
        <v>41489</v>
      </c>
      <c r="D5785" s="5">
        <v>41549</v>
      </c>
      <c r="E5785" s="4" t="s">
        <v>5185</v>
      </c>
      <c r="F5785" s="4" t="s">
        <v>5185</v>
      </c>
    </row>
    <row r="5786" spans="1:6" x14ac:dyDescent="0.25">
      <c r="A5786" s="4" t="str">
        <f>CONCATENATE("3071-0000-8571","")</f>
        <v>3071-0000-8571</v>
      </c>
      <c r="B5786" s="4" t="s">
        <v>5748</v>
      </c>
      <c r="C5786" s="5">
        <v>41489</v>
      </c>
      <c r="D5786" s="5">
        <v>41549</v>
      </c>
      <c r="E5786" s="4" t="s">
        <v>5185</v>
      </c>
      <c r="F5786" s="4" t="s">
        <v>5250</v>
      </c>
    </row>
    <row r="5787" spans="1:6" x14ac:dyDescent="0.25">
      <c r="A5787" s="4" t="str">
        <f>CONCATENATE("3071-0000-9199","")</f>
        <v>3071-0000-9199</v>
      </c>
      <c r="B5787" s="4" t="s">
        <v>5662</v>
      </c>
      <c r="C5787" s="5">
        <v>41489</v>
      </c>
      <c r="D5787" s="5">
        <v>41549</v>
      </c>
      <c r="E5787" s="4" t="s">
        <v>5185</v>
      </c>
      <c r="F5787" s="4" t="s">
        <v>5250</v>
      </c>
    </row>
    <row r="5788" spans="1:6" x14ac:dyDescent="0.25">
      <c r="A5788" s="4" t="str">
        <f>CONCATENATE("3071-0000-1419","")</f>
        <v>3071-0000-1419</v>
      </c>
      <c r="B5788" s="4" t="s">
        <v>2643</v>
      </c>
      <c r="C5788" s="5">
        <v>41489</v>
      </c>
      <c r="D5788" s="5">
        <v>41549</v>
      </c>
      <c r="E5788" s="4" t="s">
        <v>1381</v>
      </c>
      <c r="F5788" s="4" t="s">
        <v>2303</v>
      </c>
    </row>
    <row r="5789" spans="1:6" x14ac:dyDescent="0.25">
      <c r="A5789" s="4" t="str">
        <f>CONCATENATE("3071-0000-6108","")</f>
        <v>3071-0000-6108</v>
      </c>
      <c r="B5789" s="4" t="s">
        <v>7708</v>
      </c>
      <c r="C5789" s="5">
        <v>41489</v>
      </c>
      <c r="D5789" s="5">
        <v>41549</v>
      </c>
      <c r="E5789" s="4" t="s">
        <v>1410</v>
      </c>
      <c r="F5789" s="4" t="s">
        <v>1410</v>
      </c>
    </row>
    <row r="5790" spans="1:6" x14ac:dyDescent="0.25">
      <c r="A5790" s="4" t="str">
        <f>CONCATENATE("3071-0000-6601","")</f>
        <v>3071-0000-6601</v>
      </c>
      <c r="B5790" s="4" t="s">
        <v>7984</v>
      </c>
      <c r="C5790" s="5">
        <v>41489</v>
      </c>
      <c r="D5790" s="5">
        <v>41549</v>
      </c>
      <c r="E5790" s="4" t="s">
        <v>5185</v>
      </c>
      <c r="F5790" s="4" t="s">
        <v>5185</v>
      </c>
    </row>
    <row r="5791" spans="1:6" x14ac:dyDescent="0.25">
      <c r="A5791" s="4" t="str">
        <f>CONCATENATE("3071-0000-5873","")</f>
        <v>3071-0000-5873</v>
      </c>
      <c r="B5791" s="4" t="s">
        <v>7284</v>
      </c>
      <c r="C5791" s="5">
        <v>41489</v>
      </c>
      <c r="D5791" s="5">
        <v>41549</v>
      </c>
      <c r="E5791" s="4" t="s">
        <v>5185</v>
      </c>
      <c r="F5791" s="4" t="s">
        <v>5185</v>
      </c>
    </row>
    <row r="5792" spans="1:6" x14ac:dyDescent="0.25">
      <c r="A5792" s="4" t="str">
        <f>CONCATENATE("3071-0000-5779","")</f>
        <v>3071-0000-5779</v>
      </c>
      <c r="B5792" s="4" t="s">
        <v>7276</v>
      </c>
      <c r="C5792" s="5">
        <v>41489</v>
      </c>
      <c r="D5792" s="5">
        <v>41549</v>
      </c>
      <c r="E5792" s="4" t="s">
        <v>5185</v>
      </c>
      <c r="F5792" s="4" t="s">
        <v>5185</v>
      </c>
    </row>
    <row r="5793" spans="1:6" x14ac:dyDescent="0.25">
      <c r="A5793" s="4" t="str">
        <f>CONCATENATE("3071-0000-9506","")</f>
        <v>3071-0000-9506</v>
      </c>
      <c r="B5793" s="4" t="s">
        <v>8559</v>
      </c>
      <c r="C5793" s="5">
        <v>41489</v>
      </c>
      <c r="D5793" s="5">
        <v>41549</v>
      </c>
      <c r="E5793" s="4" t="s">
        <v>1410</v>
      </c>
      <c r="F5793" s="4" t="s">
        <v>4459</v>
      </c>
    </row>
    <row r="5794" spans="1:6" x14ac:dyDescent="0.25">
      <c r="A5794" s="4" t="str">
        <f>CONCATENATE("3071-0000-5875","")</f>
        <v>3071-0000-5875</v>
      </c>
      <c r="B5794" s="4" t="s">
        <v>7286</v>
      </c>
      <c r="C5794" s="5">
        <v>41489</v>
      </c>
      <c r="D5794" s="5">
        <v>41549</v>
      </c>
      <c r="E5794" s="4" t="s">
        <v>5185</v>
      </c>
      <c r="F5794" s="4" t="s">
        <v>5185</v>
      </c>
    </row>
    <row r="5795" spans="1:6" x14ac:dyDescent="0.25">
      <c r="A5795" s="4" t="str">
        <f>CONCATENATE("3071-0000-9063","")</f>
        <v>3071-0000-9063</v>
      </c>
      <c r="B5795" s="4" t="s">
        <v>5814</v>
      </c>
      <c r="C5795" s="5">
        <v>41489</v>
      </c>
      <c r="D5795" s="5">
        <v>41549</v>
      </c>
      <c r="E5795" s="4" t="s">
        <v>5185</v>
      </c>
      <c r="F5795" s="4" t="s">
        <v>5763</v>
      </c>
    </row>
    <row r="5796" spans="1:6" x14ac:dyDescent="0.25">
      <c r="A5796" s="4" t="str">
        <f>CONCATENATE("3071-0000-5438","")</f>
        <v>3071-0000-5438</v>
      </c>
      <c r="B5796" s="4" t="s">
        <v>6898</v>
      </c>
      <c r="C5796" s="5">
        <v>41489</v>
      </c>
      <c r="D5796" s="5">
        <v>41549</v>
      </c>
      <c r="E5796" s="4" t="s">
        <v>5185</v>
      </c>
      <c r="F5796" s="4" t="s">
        <v>5185</v>
      </c>
    </row>
    <row r="5797" spans="1:6" x14ac:dyDescent="0.25">
      <c r="A5797" s="4" t="str">
        <f>CONCATENATE("3071-0000-9370","")</f>
        <v>3071-0000-9370</v>
      </c>
      <c r="B5797" s="4" t="s">
        <v>8364</v>
      </c>
      <c r="C5797" s="5">
        <v>41489</v>
      </c>
      <c r="D5797" s="5">
        <v>41549</v>
      </c>
      <c r="E5797" s="4" t="s">
        <v>1410</v>
      </c>
      <c r="F5797" s="4" t="s">
        <v>7967</v>
      </c>
    </row>
    <row r="5798" spans="1:6" x14ac:dyDescent="0.25">
      <c r="A5798" s="4" t="str">
        <f>CONCATENATE("3071-0000-7536","")</f>
        <v>3071-0000-7536</v>
      </c>
      <c r="B5798" s="4" t="s">
        <v>4495</v>
      </c>
      <c r="C5798" s="5">
        <v>41489</v>
      </c>
      <c r="D5798" s="5">
        <v>41549</v>
      </c>
      <c r="E5798" s="4" t="s">
        <v>1410</v>
      </c>
      <c r="F5798" s="4" t="s">
        <v>1410</v>
      </c>
    </row>
    <row r="5799" spans="1:6" x14ac:dyDescent="0.25">
      <c r="A5799" s="4" t="str">
        <f>CONCATENATE("3071-0000-7799","")</f>
        <v>3071-0000-7799</v>
      </c>
      <c r="B5799" s="4" t="s">
        <v>5195</v>
      </c>
      <c r="C5799" s="5">
        <v>41489</v>
      </c>
      <c r="D5799" s="5">
        <v>41549</v>
      </c>
      <c r="E5799" s="4" t="s">
        <v>5185</v>
      </c>
      <c r="F5799" s="4" t="s">
        <v>5185</v>
      </c>
    </row>
    <row r="5800" spans="1:6" x14ac:dyDescent="0.25">
      <c r="A5800" s="4" t="str">
        <f>CONCATENATE("3071-0000-9122","")</f>
        <v>3071-0000-9122</v>
      </c>
      <c r="B5800" s="4" t="s">
        <v>5799</v>
      </c>
      <c r="C5800" s="5">
        <v>41489</v>
      </c>
      <c r="D5800" s="5">
        <v>41549</v>
      </c>
      <c r="E5800" s="4" t="s">
        <v>5185</v>
      </c>
      <c r="F5800" s="4" t="s">
        <v>5763</v>
      </c>
    </row>
    <row r="5801" spans="1:6" x14ac:dyDescent="0.25">
      <c r="A5801" s="4" t="str">
        <f>CONCATENATE("3071-0000-9482","")</f>
        <v>3071-0000-9482</v>
      </c>
      <c r="B5801" s="4" t="s">
        <v>8558</v>
      </c>
      <c r="C5801" s="5">
        <v>41489</v>
      </c>
      <c r="D5801" s="5">
        <v>41549</v>
      </c>
      <c r="E5801" s="4" t="s">
        <v>1410</v>
      </c>
      <c r="F5801" s="4" t="s">
        <v>4459</v>
      </c>
    </row>
    <row r="5802" spans="1:6" x14ac:dyDescent="0.25">
      <c r="A5802" s="4" t="str">
        <f>CONCATENATE("3071-0000-6788","")</f>
        <v>3071-0000-6788</v>
      </c>
      <c r="B5802" s="4" t="s">
        <v>8079</v>
      </c>
      <c r="C5802" s="5">
        <v>41489</v>
      </c>
      <c r="D5802" s="5">
        <v>41549</v>
      </c>
      <c r="E5802" s="4" t="s">
        <v>1410</v>
      </c>
      <c r="F5802" s="4" t="s">
        <v>7967</v>
      </c>
    </row>
    <row r="5803" spans="1:6" x14ac:dyDescent="0.25">
      <c r="A5803" s="4" t="str">
        <f>CONCATENATE("3071-0000-6014","")</f>
        <v>3071-0000-6014</v>
      </c>
      <c r="B5803" s="4" t="s">
        <v>6984</v>
      </c>
      <c r="C5803" s="5">
        <v>41489</v>
      </c>
      <c r="D5803" s="5">
        <v>41549</v>
      </c>
      <c r="E5803" s="4" t="s">
        <v>1410</v>
      </c>
      <c r="F5803" s="4" t="s">
        <v>2142</v>
      </c>
    </row>
    <row r="5804" spans="1:6" x14ac:dyDescent="0.25">
      <c r="A5804" s="4" t="str">
        <f>CONCATENATE("3071-0000-7096","")</f>
        <v>3071-0000-7096</v>
      </c>
      <c r="B5804" s="4" t="s">
        <v>4691</v>
      </c>
      <c r="C5804" s="5">
        <v>41489</v>
      </c>
      <c r="D5804" s="5">
        <v>41549</v>
      </c>
      <c r="E5804" s="4" t="s">
        <v>1410</v>
      </c>
      <c r="F5804" s="4" t="s">
        <v>1410</v>
      </c>
    </row>
    <row r="5805" spans="1:6" x14ac:dyDescent="0.25">
      <c r="A5805" s="4" t="str">
        <f>CONCATENATE("3071-0000-7860","")</f>
        <v>3071-0000-7860</v>
      </c>
      <c r="B5805" s="4" t="s">
        <v>6324</v>
      </c>
      <c r="C5805" s="5">
        <v>41489</v>
      </c>
      <c r="D5805" s="5">
        <v>41549</v>
      </c>
      <c r="E5805" s="4" t="s">
        <v>5185</v>
      </c>
      <c r="F5805" s="4" t="s">
        <v>5185</v>
      </c>
    </row>
    <row r="5806" spans="1:6" x14ac:dyDescent="0.25">
      <c r="A5806" s="4" t="str">
        <f>CONCATENATE("3071-0000-9312","")</f>
        <v>3071-0000-9312</v>
      </c>
      <c r="B5806" s="4" t="s">
        <v>8370</v>
      </c>
      <c r="C5806" s="5">
        <v>41489</v>
      </c>
      <c r="D5806" s="5">
        <v>41549</v>
      </c>
      <c r="E5806" s="4" t="s">
        <v>5185</v>
      </c>
      <c r="F5806" s="4" t="s">
        <v>5185</v>
      </c>
    </row>
    <row r="5807" spans="1:6" x14ac:dyDescent="0.25">
      <c r="A5807" s="4" t="str">
        <f>CONCATENATE("3071-0000-9311","")</f>
        <v>3071-0000-9311</v>
      </c>
      <c r="B5807" s="4" t="s">
        <v>8369</v>
      </c>
      <c r="C5807" s="5">
        <v>41489</v>
      </c>
      <c r="D5807" s="5">
        <v>41549</v>
      </c>
      <c r="E5807" s="4" t="s">
        <v>5185</v>
      </c>
      <c r="F5807" s="4" t="s">
        <v>5185</v>
      </c>
    </row>
    <row r="5808" spans="1:6" x14ac:dyDescent="0.25">
      <c r="A5808" s="4" t="str">
        <f>CONCATENATE("3071-0000-1849","")</f>
        <v>3071-0000-1849</v>
      </c>
      <c r="B5808" s="4" t="s">
        <v>2370</v>
      </c>
      <c r="C5808" s="5">
        <v>41489</v>
      </c>
      <c r="D5808" s="5">
        <v>41549</v>
      </c>
      <c r="E5808" s="4" t="s">
        <v>1381</v>
      </c>
      <c r="F5808" s="4" t="s">
        <v>2319</v>
      </c>
    </row>
    <row r="5809" spans="1:6" x14ac:dyDescent="0.25">
      <c r="A5809" s="4" t="str">
        <f>CONCATENATE("3071-0000-1776","")</f>
        <v>3071-0000-1776</v>
      </c>
      <c r="B5809" s="4" t="s">
        <v>2389</v>
      </c>
      <c r="C5809" s="5">
        <v>41489</v>
      </c>
      <c r="D5809" s="5">
        <v>41549</v>
      </c>
      <c r="E5809" s="4" t="s">
        <v>1381</v>
      </c>
      <c r="F5809" s="4" t="s">
        <v>2319</v>
      </c>
    </row>
    <row r="5810" spans="1:6" x14ac:dyDescent="0.25">
      <c r="A5810" s="4" t="str">
        <f>CONCATENATE("3071-0000-0987","")</f>
        <v>3071-0000-0987</v>
      </c>
      <c r="B5810" s="4" t="s">
        <v>2208</v>
      </c>
      <c r="C5810" s="5">
        <v>41489</v>
      </c>
      <c r="D5810" s="5">
        <v>41549</v>
      </c>
      <c r="E5810" s="4" t="s">
        <v>1857</v>
      </c>
      <c r="F5810" s="4" t="s">
        <v>1857</v>
      </c>
    </row>
    <row r="5811" spans="1:6" x14ac:dyDescent="0.25">
      <c r="A5811" s="4" t="str">
        <f>CONCATENATE("3071-0000-9463","")</f>
        <v>3071-0000-9463</v>
      </c>
      <c r="B5811" s="4" t="s">
        <v>8527</v>
      </c>
      <c r="C5811" s="5">
        <v>41489</v>
      </c>
      <c r="D5811" s="5">
        <v>41549</v>
      </c>
      <c r="E5811" s="4" t="s">
        <v>1410</v>
      </c>
      <c r="F5811" s="4" t="s">
        <v>4459</v>
      </c>
    </row>
    <row r="5812" spans="1:6" x14ac:dyDescent="0.25">
      <c r="A5812" s="4" t="str">
        <f>CONCATENATE("3071-0000-7369","")</f>
        <v>3071-0000-7369</v>
      </c>
      <c r="B5812" s="4" t="s">
        <v>5004</v>
      </c>
      <c r="C5812" s="5">
        <v>41489</v>
      </c>
      <c r="D5812" s="5">
        <v>41549</v>
      </c>
      <c r="E5812" s="4" t="s">
        <v>1410</v>
      </c>
      <c r="F5812" s="4" t="s">
        <v>1410</v>
      </c>
    </row>
    <row r="5813" spans="1:6" x14ac:dyDescent="0.25">
      <c r="A5813" s="4" t="str">
        <f>CONCATENATE("3071-0000-6932","")</f>
        <v>3071-0000-6932</v>
      </c>
      <c r="B5813" s="4" t="s">
        <v>4574</v>
      </c>
      <c r="C5813" s="5">
        <v>41489</v>
      </c>
      <c r="D5813" s="5">
        <v>41549</v>
      </c>
      <c r="E5813" s="4" t="s">
        <v>1410</v>
      </c>
      <c r="F5813" s="4" t="s">
        <v>1410</v>
      </c>
    </row>
    <row r="5814" spans="1:6" x14ac:dyDescent="0.25">
      <c r="A5814" s="4" t="str">
        <f>CONCATENATE("3071-0000-8424","")</f>
        <v>3071-0000-8424</v>
      </c>
      <c r="B5814" s="4" t="s">
        <v>6254</v>
      </c>
      <c r="C5814" s="5">
        <v>41489</v>
      </c>
      <c r="D5814" s="5">
        <v>41549</v>
      </c>
      <c r="E5814" s="4" t="s">
        <v>5185</v>
      </c>
      <c r="F5814" s="4" t="s">
        <v>5185</v>
      </c>
    </row>
    <row r="5815" spans="1:6" x14ac:dyDescent="0.25">
      <c r="A5815" s="4" t="str">
        <f>CONCATENATE("3071-0000-7143","")</f>
        <v>3071-0000-7143</v>
      </c>
      <c r="B5815" s="4" t="s">
        <v>4960</v>
      </c>
      <c r="C5815" s="5">
        <v>41489</v>
      </c>
      <c r="D5815" s="5">
        <v>41549</v>
      </c>
      <c r="E5815" s="4" t="s">
        <v>1410</v>
      </c>
      <c r="F5815" s="4" t="s">
        <v>1410</v>
      </c>
    </row>
    <row r="5816" spans="1:6" x14ac:dyDescent="0.25">
      <c r="A5816" s="4" t="str">
        <f>CONCATENATE("3071-0000-7322","")</f>
        <v>3071-0000-7322</v>
      </c>
      <c r="B5816" s="4" t="s">
        <v>4450</v>
      </c>
      <c r="C5816" s="5">
        <v>41489</v>
      </c>
      <c r="D5816" s="5">
        <v>41549</v>
      </c>
      <c r="E5816" s="4" t="s">
        <v>1410</v>
      </c>
      <c r="F5816" s="4" t="s">
        <v>1410</v>
      </c>
    </row>
    <row r="5817" spans="1:6" x14ac:dyDescent="0.25">
      <c r="A5817" s="4" t="str">
        <f>CONCATENATE("3071-0000-7645","")</f>
        <v>3071-0000-7645</v>
      </c>
      <c r="B5817" s="4" t="s">
        <v>5180</v>
      </c>
      <c r="C5817" s="5">
        <v>41489</v>
      </c>
      <c r="D5817" s="5">
        <v>41549</v>
      </c>
      <c r="E5817" s="4" t="s">
        <v>1410</v>
      </c>
      <c r="F5817" s="4" t="s">
        <v>4616</v>
      </c>
    </row>
    <row r="5818" spans="1:6" x14ac:dyDescent="0.25">
      <c r="A5818" s="4" t="str">
        <f>CONCATENATE("3071-0000-7334","")</f>
        <v>3071-0000-7334</v>
      </c>
      <c r="B5818" s="4" t="s">
        <v>4925</v>
      </c>
      <c r="C5818" s="5">
        <v>41489</v>
      </c>
      <c r="D5818" s="5">
        <v>41549</v>
      </c>
      <c r="E5818" s="4" t="s">
        <v>1410</v>
      </c>
      <c r="F5818" s="4" t="s">
        <v>1410</v>
      </c>
    </row>
    <row r="5819" spans="1:6" x14ac:dyDescent="0.25">
      <c r="A5819" s="4" t="str">
        <f>CONCATENATE("3071-0000-7437","")</f>
        <v>3071-0000-7437</v>
      </c>
      <c r="B5819" s="4" t="s">
        <v>4366</v>
      </c>
      <c r="C5819" s="5">
        <v>41489</v>
      </c>
      <c r="D5819" s="5">
        <v>41549</v>
      </c>
      <c r="E5819" s="4" t="s">
        <v>1410</v>
      </c>
      <c r="F5819" s="4" t="s">
        <v>1410</v>
      </c>
    </row>
    <row r="5820" spans="1:6" x14ac:dyDescent="0.25">
      <c r="A5820" s="4" t="str">
        <f>CONCATENATE("3071-0000-0888","")</f>
        <v>3071-0000-0888</v>
      </c>
      <c r="B5820" s="4" t="s">
        <v>2034</v>
      </c>
      <c r="C5820" s="5">
        <v>41489</v>
      </c>
      <c r="D5820" s="5">
        <v>41549</v>
      </c>
      <c r="E5820" s="4" t="s">
        <v>1857</v>
      </c>
      <c r="F5820" s="4" t="s">
        <v>1857</v>
      </c>
    </row>
    <row r="5821" spans="1:6" x14ac:dyDescent="0.25">
      <c r="A5821" s="4" t="str">
        <f>CONCATENATE("3071-0000-1049","")</f>
        <v>3071-0000-1049</v>
      </c>
      <c r="B5821" s="4" t="s">
        <v>1996</v>
      </c>
      <c r="C5821" s="5">
        <v>41489</v>
      </c>
      <c r="D5821" s="5">
        <v>41549</v>
      </c>
      <c r="E5821" s="4" t="s">
        <v>1857</v>
      </c>
      <c r="F5821" s="4" t="s">
        <v>1857</v>
      </c>
    </row>
    <row r="5822" spans="1:6" x14ac:dyDescent="0.25">
      <c r="A5822" s="4" t="str">
        <f>CONCATENATE("3071-0000-0866","")</f>
        <v>3071-0000-0866</v>
      </c>
      <c r="B5822" s="4" t="s">
        <v>1965</v>
      </c>
      <c r="C5822" s="5">
        <v>41489</v>
      </c>
      <c r="D5822" s="5">
        <v>41549</v>
      </c>
      <c r="E5822" s="4" t="s">
        <v>1857</v>
      </c>
      <c r="F5822" s="4" t="s">
        <v>1857</v>
      </c>
    </row>
    <row r="5823" spans="1:6" x14ac:dyDescent="0.25">
      <c r="A5823" s="4" t="str">
        <f>CONCATENATE("3071-0000-6622","")</f>
        <v>3071-0000-6622</v>
      </c>
      <c r="B5823" s="4" t="s">
        <v>8216</v>
      </c>
      <c r="C5823" s="5">
        <v>41489</v>
      </c>
      <c r="D5823" s="5">
        <v>41549</v>
      </c>
      <c r="E5823" s="4" t="s">
        <v>5185</v>
      </c>
      <c r="F5823" s="4" t="s">
        <v>5185</v>
      </c>
    </row>
    <row r="5824" spans="1:6" x14ac:dyDescent="0.25">
      <c r="A5824" s="4" t="str">
        <f>CONCATENATE("3071-0000-9626","")</f>
        <v>3071-0000-9626</v>
      </c>
      <c r="B5824" s="4" t="s">
        <v>8314</v>
      </c>
      <c r="C5824" s="5">
        <v>41489</v>
      </c>
      <c r="D5824" s="5">
        <v>41549</v>
      </c>
      <c r="E5824" s="4" t="s">
        <v>1410</v>
      </c>
      <c r="F5824" s="4" t="s">
        <v>7967</v>
      </c>
    </row>
    <row r="5825" spans="1:6" x14ac:dyDescent="0.25">
      <c r="A5825" s="4" t="str">
        <f>CONCATENATE("3071-0000-9234","")</f>
        <v>3071-0000-9234</v>
      </c>
      <c r="B5825" s="4" t="s">
        <v>8323</v>
      </c>
      <c r="C5825" s="5">
        <v>41489</v>
      </c>
      <c r="D5825" s="5">
        <v>41549</v>
      </c>
      <c r="E5825" s="4" t="s">
        <v>5185</v>
      </c>
      <c r="F5825" s="4" t="s">
        <v>5185</v>
      </c>
    </row>
    <row r="5826" spans="1:6" x14ac:dyDescent="0.25">
      <c r="A5826" s="4" t="str">
        <f>CONCATENATE("3071-0000-8515","")</f>
        <v>3071-0000-8515</v>
      </c>
      <c r="B5826" s="4" t="s">
        <v>5769</v>
      </c>
      <c r="C5826" s="5">
        <v>41489</v>
      </c>
      <c r="D5826" s="5">
        <v>41549</v>
      </c>
      <c r="E5826" s="4" t="s">
        <v>5185</v>
      </c>
      <c r="F5826" s="4" t="s">
        <v>5763</v>
      </c>
    </row>
    <row r="5827" spans="1:6" x14ac:dyDescent="0.25">
      <c r="A5827" s="4" t="str">
        <f>CONCATENATE("3071-0000-6654","")</f>
        <v>3071-0000-6654</v>
      </c>
      <c r="B5827" s="4" t="s">
        <v>8244</v>
      </c>
      <c r="C5827" s="5">
        <v>41489</v>
      </c>
      <c r="D5827" s="5">
        <v>41549</v>
      </c>
      <c r="E5827" s="4" t="s">
        <v>5185</v>
      </c>
      <c r="F5827" s="4" t="s">
        <v>5185</v>
      </c>
    </row>
    <row r="5828" spans="1:6" x14ac:dyDescent="0.25">
      <c r="A5828" s="4" t="str">
        <f>CONCATENATE("3071-0000-5271","")</f>
        <v>3071-0000-5271</v>
      </c>
      <c r="B5828" s="4" t="s">
        <v>6790</v>
      </c>
      <c r="C5828" s="5">
        <v>41489</v>
      </c>
      <c r="D5828" s="5">
        <v>41549</v>
      </c>
      <c r="E5828" s="4" t="s">
        <v>5185</v>
      </c>
      <c r="F5828" s="4" t="s">
        <v>5185</v>
      </c>
    </row>
    <row r="5829" spans="1:6" x14ac:dyDescent="0.25">
      <c r="A5829" s="4" t="str">
        <f>CONCATENATE("3071-0000-5498","")</f>
        <v>3071-0000-5498</v>
      </c>
      <c r="B5829" s="4" t="s">
        <v>6774</v>
      </c>
      <c r="C5829" s="5">
        <v>41489</v>
      </c>
      <c r="D5829" s="5">
        <v>41549</v>
      </c>
      <c r="E5829" s="4" t="s">
        <v>1410</v>
      </c>
      <c r="F5829" s="4" t="s">
        <v>6635</v>
      </c>
    </row>
    <row r="5830" spans="1:6" x14ac:dyDescent="0.25">
      <c r="A5830" s="4" t="str">
        <f>CONCATENATE("3071-0000-5277","")</f>
        <v>3071-0000-5277</v>
      </c>
      <c r="B5830" s="4" t="s">
        <v>6778</v>
      </c>
      <c r="C5830" s="5">
        <v>41489</v>
      </c>
      <c r="D5830" s="5">
        <v>41549</v>
      </c>
      <c r="E5830" s="4" t="s">
        <v>5185</v>
      </c>
      <c r="F5830" s="4" t="s">
        <v>5185</v>
      </c>
    </row>
    <row r="5831" spans="1:6" x14ac:dyDescent="0.25">
      <c r="A5831" s="4" t="str">
        <f>CONCATENATE("3071-0000-5450","")</f>
        <v>3071-0000-5450</v>
      </c>
      <c r="B5831" s="4" t="s">
        <v>6648</v>
      </c>
      <c r="C5831" s="5">
        <v>41489</v>
      </c>
      <c r="D5831" s="5">
        <v>41549</v>
      </c>
      <c r="E5831" s="4" t="s">
        <v>5185</v>
      </c>
      <c r="F5831" s="4" t="s">
        <v>5185</v>
      </c>
    </row>
    <row r="5832" spans="1:6" x14ac:dyDescent="0.25">
      <c r="A5832" s="4" t="str">
        <f>CONCATENATE("3071-0000-9282","")</f>
        <v>3071-0000-9282</v>
      </c>
      <c r="B5832" s="4" t="s">
        <v>8312</v>
      </c>
      <c r="C5832" s="5">
        <v>41489</v>
      </c>
      <c r="D5832" s="5">
        <v>41549</v>
      </c>
      <c r="E5832" s="4" t="s">
        <v>5185</v>
      </c>
      <c r="F5832" s="4" t="s">
        <v>5185</v>
      </c>
    </row>
    <row r="5833" spans="1:6" x14ac:dyDescent="0.25">
      <c r="A5833" s="4" t="str">
        <f>CONCATENATE("3071-0000-8604","")</f>
        <v>3071-0000-8604</v>
      </c>
      <c r="B5833" s="4" t="s">
        <v>5450</v>
      </c>
      <c r="C5833" s="5">
        <v>41489</v>
      </c>
      <c r="D5833" s="5">
        <v>41549</v>
      </c>
      <c r="E5833" s="4" t="s">
        <v>1410</v>
      </c>
      <c r="F5833" s="4" t="s">
        <v>4616</v>
      </c>
    </row>
    <row r="5834" spans="1:6" x14ac:dyDescent="0.25">
      <c r="A5834" s="4" t="str">
        <f>CONCATENATE("3071-0000-4170","")</f>
        <v>3071-0000-4170</v>
      </c>
      <c r="B5834" s="4" t="s">
        <v>3878</v>
      </c>
      <c r="C5834" s="5">
        <v>41489</v>
      </c>
      <c r="D5834" s="5">
        <v>41549</v>
      </c>
      <c r="E5834" s="4" t="s">
        <v>7</v>
      </c>
      <c r="F5834" s="4" t="s">
        <v>3818</v>
      </c>
    </row>
    <row r="5835" spans="1:6" x14ac:dyDescent="0.25">
      <c r="A5835" s="4" t="str">
        <f>CONCATENATE("3071-0000-7157","")</f>
        <v>3071-0000-7157</v>
      </c>
      <c r="B5835" s="4" t="s">
        <v>4994</v>
      </c>
      <c r="C5835" s="5">
        <v>41489</v>
      </c>
      <c r="D5835" s="5">
        <v>41549</v>
      </c>
      <c r="E5835" s="4" t="s">
        <v>1410</v>
      </c>
      <c r="F5835" s="4" t="s">
        <v>1410</v>
      </c>
    </row>
    <row r="5836" spans="1:6" x14ac:dyDescent="0.25">
      <c r="A5836" s="4" t="str">
        <f>CONCATENATE("3071-0000-1575","")</f>
        <v>3071-0000-1575</v>
      </c>
      <c r="B5836" s="4" t="s">
        <v>2823</v>
      </c>
      <c r="C5836" s="5">
        <v>41489</v>
      </c>
      <c r="D5836" s="5">
        <v>41549</v>
      </c>
      <c r="E5836" s="4" t="s">
        <v>1381</v>
      </c>
      <c r="F5836" s="4" t="s">
        <v>2303</v>
      </c>
    </row>
    <row r="5837" spans="1:6" x14ac:dyDescent="0.25">
      <c r="A5837" s="4" t="str">
        <f>CONCATENATE("3071-0000-4874","")</f>
        <v>3071-0000-4874</v>
      </c>
      <c r="B5837" s="4" t="s">
        <v>8702</v>
      </c>
      <c r="C5837" s="5">
        <v>41489</v>
      </c>
      <c r="D5837" s="5">
        <v>41549</v>
      </c>
      <c r="E5837" s="4" t="s">
        <v>1410</v>
      </c>
      <c r="F5837" s="4" t="s">
        <v>1410</v>
      </c>
    </row>
    <row r="5838" spans="1:6" x14ac:dyDescent="0.25">
      <c r="A5838" s="4" t="str">
        <f>CONCATENATE("3071-0000-3026","")</f>
        <v>3071-0000-3026</v>
      </c>
      <c r="B5838" s="4" t="s">
        <v>1233</v>
      </c>
      <c r="C5838" s="5">
        <v>41489</v>
      </c>
      <c r="D5838" s="5">
        <v>41549</v>
      </c>
      <c r="E5838" s="4" t="s">
        <v>7</v>
      </c>
      <c r="F5838" s="4" t="s">
        <v>808</v>
      </c>
    </row>
    <row r="5839" spans="1:6" x14ac:dyDescent="0.25">
      <c r="A5839" s="4" t="str">
        <f>CONCATENATE("3071-0000-3107","")</f>
        <v>3071-0000-3107</v>
      </c>
      <c r="B5839" s="4" t="s">
        <v>1212</v>
      </c>
      <c r="C5839" s="5">
        <v>41489</v>
      </c>
      <c r="D5839" s="5">
        <v>41549</v>
      </c>
      <c r="E5839" s="4" t="s">
        <v>7</v>
      </c>
      <c r="F5839" s="4" t="s">
        <v>808</v>
      </c>
    </row>
    <row r="5840" spans="1:6" x14ac:dyDescent="0.25">
      <c r="A5840" s="4" t="str">
        <f>CONCATENATE("3071-0000-1293","")</f>
        <v>3071-0000-1293</v>
      </c>
      <c r="B5840" s="4" t="s">
        <v>2403</v>
      </c>
      <c r="C5840" s="5">
        <v>41489</v>
      </c>
      <c r="D5840" s="5">
        <v>41549</v>
      </c>
      <c r="E5840" s="4" t="s">
        <v>1381</v>
      </c>
      <c r="F5840" s="4" t="s">
        <v>2303</v>
      </c>
    </row>
    <row r="5841" spans="1:6" x14ac:dyDescent="0.25">
      <c r="A5841" s="4" t="str">
        <f>CONCATENATE("3071-0000-3933","")</f>
        <v>3071-0000-3933</v>
      </c>
      <c r="B5841" s="4" t="s">
        <v>4082</v>
      </c>
      <c r="C5841" s="5">
        <v>41489</v>
      </c>
      <c r="D5841" s="5">
        <v>41549</v>
      </c>
      <c r="E5841" s="4" t="s">
        <v>1381</v>
      </c>
      <c r="F5841" s="4" t="s">
        <v>4057</v>
      </c>
    </row>
    <row r="5842" spans="1:6" x14ac:dyDescent="0.25">
      <c r="A5842" s="4" t="str">
        <f>CONCATENATE("3071-0000-4664","")</f>
        <v>3071-0000-4664</v>
      </c>
      <c r="B5842" s="4" t="s">
        <v>9172</v>
      </c>
      <c r="C5842" s="5">
        <v>41489</v>
      </c>
      <c r="D5842" s="5">
        <v>41549</v>
      </c>
      <c r="E5842" s="4" t="s">
        <v>1410</v>
      </c>
      <c r="F5842" s="4" t="s">
        <v>8696</v>
      </c>
    </row>
    <row r="5843" spans="1:6" x14ac:dyDescent="0.25">
      <c r="A5843" s="4" t="str">
        <f>CONCATENATE("3071-0000-2323","")</f>
        <v>3071-0000-2323</v>
      </c>
      <c r="B5843" s="4" t="s">
        <v>3177</v>
      </c>
      <c r="C5843" s="5">
        <v>41489</v>
      </c>
      <c r="D5843" s="5">
        <v>41549</v>
      </c>
      <c r="E5843" s="4" t="s">
        <v>2944</v>
      </c>
      <c r="F5843" s="4" t="s">
        <v>2945</v>
      </c>
    </row>
    <row r="5844" spans="1:6" x14ac:dyDescent="0.25">
      <c r="A5844" s="4" t="str">
        <f>CONCATENATE("3071-0000-2485","")</f>
        <v>3071-0000-2485</v>
      </c>
      <c r="B5844" s="4" t="s">
        <v>3601</v>
      </c>
      <c r="C5844" s="5">
        <v>41489</v>
      </c>
      <c r="D5844" s="5">
        <v>41549</v>
      </c>
      <c r="E5844" s="4" t="s">
        <v>2944</v>
      </c>
      <c r="F5844" s="4" t="s">
        <v>3593</v>
      </c>
    </row>
    <row r="5845" spans="1:6" x14ac:dyDescent="0.25">
      <c r="A5845" s="4" t="str">
        <f>CONCATENATE("3071-0000-6271","")</f>
        <v>3071-0000-6271</v>
      </c>
      <c r="B5845" s="4" t="s">
        <v>7087</v>
      </c>
      <c r="C5845" s="5">
        <v>41489</v>
      </c>
      <c r="D5845" s="5">
        <v>41549</v>
      </c>
      <c r="E5845" s="4" t="s">
        <v>7069</v>
      </c>
      <c r="F5845" s="4" t="s">
        <v>7070</v>
      </c>
    </row>
    <row r="5846" spans="1:6" x14ac:dyDescent="0.25">
      <c r="A5846" s="4" t="str">
        <f>CONCATENATE("3071-0000-4665","")</f>
        <v>3071-0000-4665</v>
      </c>
      <c r="B5846" s="4" t="s">
        <v>9174</v>
      </c>
      <c r="C5846" s="5">
        <v>41489</v>
      </c>
      <c r="D5846" s="5">
        <v>41549</v>
      </c>
      <c r="E5846" s="4" t="s">
        <v>1410</v>
      </c>
      <c r="F5846" s="4" t="s">
        <v>8696</v>
      </c>
    </row>
    <row r="5847" spans="1:6" x14ac:dyDescent="0.25">
      <c r="A5847" s="4" t="str">
        <f>CONCATENATE("3071-0000-4671","")</f>
        <v>3071-0000-4671</v>
      </c>
      <c r="B5847" s="4" t="s">
        <v>9182</v>
      </c>
      <c r="C5847" s="5">
        <v>41489</v>
      </c>
      <c r="D5847" s="5">
        <v>41549</v>
      </c>
      <c r="E5847" s="4" t="s">
        <v>1410</v>
      </c>
      <c r="F5847" s="4" t="s">
        <v>8696</v>
      </c>
    </row>
    <row r="5848" spans="1:6" x14ac:dyDescent="0.25">
      <c r="A5848" s="4" t="str">
        <f>CONCATENATE("3071-0000-6293","")</f>
        <v>3071-0000-6293</v>
      </c>
      <c r="B5848" s="4" t="s">
        <v>7073</v>
      </c>
      <c r="C5848" s="5">
        <v>41489</v>
      </c>
      <c r="D5848" s="5">
        <v>41549</v>
      </c>
      <c r="E5848" s="4" t="s">
        <v>7069</v>
      </c>
      <c r="F5848" s="4" t="s">
        <v>7070</v>
      </c>
    </row>
    <row r="5849" spans="1:6" x14ac:dyDescent="0.25">
      <c r="A5849" s="4" t="str">
        <f>CONCATENATE("3071-0000-6303","")</f>
        <v>3071-0000-6303</v>
      </c>
      <c r="B5849" s="4" t="s">
        <v>7110</v>
      </c>
      <c r="C5849" s="5">
        <v>41489</v>
      </c>
      <c r="D5849" s="5">
        <v>41549</v>
      </c>
      <c r="E5849" s="4" t="s">
        <v>7069</v>
      </c>
      <c r="F5849" s="4" t="s">
        <v>7070</v>
      </c>
    </row>
    <row r="5850" spans="1:6" x14ac:dyDescent="0.25">
      <c r="A5850" s="4" t="str">
        <f>CONCATENATE("3071-0000-6281","")</f>
        <v>3071-0000-6281</v>
      </c>
      <c r="B5850" s="4" t="s">
        <v>7101</v>
      </c>
      <c r="C5850" s="5">
        <v>41489</v>
      </c>
      <c r="D5850" s="5">
        <v>41549</v>
      </c>
      <c r="E5850" s="4" t="s">
        <v>7069</v>
      </c>
      <c r="F5850" s="4" t="s">
        <v>7070</v>
      </c>
    </row>
    <row r="5851" spans="1:6" x14ac:dyDescent="0.25">
      <c r="A5851" s="4" t="str">
        <f>CONCATENATE("3071-0000-4667","")</f>
        <v>3071-0000-4667</v>
      </c>
      <c r="B5851" s="4" t="s">
        <v>9178</v>
      </c>
      <c r="C5851" s="5">
        <v>41489</v>
      </c>
      <c r="D5851" s="5">
        <v>41549</v>
      </c>
      <c r="E5851" s="4" t="s">
        <v>1410</v>
      </c>
      <c r="F5851" s="4" t="s">
        <v>8696</v>
      </c>
    </row>
    <row r="5852" spans="1:6" x14ac:dyDescent="0.25">
      <c r="A5852" s="4" t="str">
        <f>CONCATENATE("3071-0000-6272","")</f>
        <v>3071-0000-6272</v>
      </c>
      <c r="B5852" s="4" t="s">
        <v>7086</v>
      </c>
      <c r="C5852" s="5">
        <v>41489</v>
      </c>
      <c r="D5852" s="5">
        <v>41549</v>
      </c>
      <c r="E5852" s="4" t="s">
        <v>7069</v>
      </c>
      <c r="F5852" s="4" t="s">
        <v>7070</v>
      </c>
    </row>
    <row r="5853" spans="1:6" x14ac:dyDescent="0.25">
      <c r="A5853" s="4" t="str">
        <f>CONCATENATE("3071-0000-8885","")</f>
        <v>3071-0000-8885</v>
      </c>
      <c r="B5853" s="4" t="s">
        <v>6307</v>
      </c>
      <c r="C5853" s="5">
        <v>41489</v>
      </c>
      <c r="D5853" s="5">
        <v>41549</v>
      </c>
      <c r="E5853" s="4" t="s">
        <v>5185</v>
      </c>
      <c r="F5853" s="4" t="s">
        <v>5292</v>
      </c>
    </row>
    <row r="5854" spans="1:6" x14ac:dyDescent="0.25">
      <c r="A5854" s="4" t="str">
        <f>CONCATENATE("3071-0000-8339","")</f>
        <v>3071-0000-8339</v>
      </c>
      <c r="B5854" s="4" t="s">
        <v>5959</v>
      </c>
      <c r="C5854" s="5">
        <v>41489</v>
      </c>
      <c r="D5854" s="5">
        <v>41549</v>
      </c>
      <c r="E5854" s="4" t="s">
        <v>5185</v>
      </c>
      <c r="F5854" s="4" t="s">
        <v>5945</v>
      </c>
    </row>
    <row r="5855" spans="1:6" x14ac:dyDescent="0.25">
      <c r="A5855" s="4" t="str">
        <f>CONCATENATE("3071-0000-7900","")</f>
        <v>3071-0000-7900</v>
      </c>
      <c r="B5855" s="4" t="s">
        <v>5975</v>
      </c>
      <c r="C5855" s="5">
        <v>41489</v>
      </c>
      <c r="D5855" s="5">
        <v>41549</v>
      </c>
      <c r="E5855" s="4" t="s">
        <v>5185</v>
      </c>
      <c r="F5855" s="4" t="s">
        <v>5185</v>
      </c>
    </row>
    <row r="5856" spans="1:6" x14ac:dyDescent="0.25">
      <c r="A5856" s="4" t="str">
        <f>CONCATENATE("3071-0000-2537","")</f>
        <v>3071-0000-2537</v>
      </c>
      <c r="B5856" s="4" t="s">
        <v>3213</v>
      </c>
      <c r="C5856" s="5">
        <v>41489</v>
      </c>
      <c r="D5856" s="5">
        <v>41549</v>
      </c>
      <c r="E5856" s="4" t="s">
        <v>2944</v>
      </c>
      <c r="F5856" s="4" t="s">
        <v>3164</v>
      </c>
    </row>
    <row r="5857" spans="1:6" x14ac:dyDescent="0.25">
      <c r="A5857" s="4" t="str">
        <f>CONCATENATE("3071-0000-1146","")</f>
        <v>3071-0000-1146</v>
      </c>
      <c r="B5857" s="4" t="s">
        <v>2124</v>
      </c>
      <c r="C5857" s="5">
        <v>41489</v>
      </c>
      <c r="D5857" s="5">
        <v>41549</v>
      </c>
      <c r="E5857" s="4" t="s">
        <v>1857</v>
      </c>
      <c r="F5857" s="4" t="s">
        <v>2108</v>
      </c>
    </row>
    <row r="5858" spans="1:6" x14ac:dyDescent="0.25">
      <c r="A5858" s="4" t="str">
        <f>CONCATENATE("3071-0000-0894","")</f>
        <v>3071-0000-0894</v>
      </c>
      <c r="B5858" s="4" t="s">
        <v>2054</v>
      </c>
      <c r="C5858" s="5">
        <v>41489</v>
      </c>
      <c r="D5858" s="5">
        <v>41549</v>
      </c>
      <c r="E5858" s="4" t="s">
        <v>1857</v>
      </c>
      <c r="F5858" s="4" t="s">
        <v>1857</v>
      </c>
    </row>
    <row r="5859" spans="1:6" x14ac:dyDescent="0.25">
      <c r="A5859" s="4" t="str">
        <f>CONCATENATE("3071-0000-2449","")</f>
        <v>3071-0000-2449</v>
      </c>
      <c r="B5859" s="4" t="s">
        <v>3033</v>
      </c>
      <c r="C5859" s="5">
        <v>41489</v>
      </c>
      <c r="D5859" s="5">
        <v>41549</v>
      </c>
      <c r="E5859" s="4" t="s">
        <v>2944</v>
      </c>
      <c r="F5859" s="4" t="s">
        <v>2945</v>
      </c>
    </row>
    <row r="5860" spans="1:6" x14ac:dyDescent="0.25">
      <c r="A5860" s="4" t="str">
        <f>CONCATENATE("3071-0000-1711","")</f>
        <v>3071-0000-1711</v>
      </c>
      <c r="B5860" s="4" t="s">
        <v>2598</v>
      </c>
      <c r="C5860" s="5">
        <v>41489</v>
      </c>
      <c r="D5860" s="5">
        <v>41549</v>
      </c>
      <c r="E5860" s="4" t="s">
        <v>1381</v>
      </c>
      <c r="F5860" s="4" t="s">
        <v>2303</v>
      </c>
    </row>
    <row r="5861" spans="1:6" x14ac:dyDescent="0.25">
      <c r="A5861" s="4" t="str">
        <f>CONCATENATE("3071-0000-3516","")</f>
        <v>3071-0000-3516</v>
      </c>
      <c r="B5861" s="4" t="s">
        <v>1837</v>
      </c>
      <c r="C5861" s="5">
        <v>41489</v>
      </c>
      <c r="D5861" s="5">
        <v>41549</v>
      </c>
      <c r="E5861" s="4" t="s">
        <v>1410</v>
      </c>
      <c r="F5861" s="4" t="s">
        <v>1411</v>
      </c>
    </row>
    <row r="5862" spans="1:6" x14ac:dyDescent="0.25">
      <c r="A5862" s="4" t="str">
        <f>CONCATENATE("3071-0000-6588","")</f>
        <v>3071-0000-6588</v>
      </c>
      <c r="B5862" s="4" t="s">
        <v>7998</v>
      </c>
      <c r="C5862" s="5">
        <v>41489</v>
      </c>
      <c r="D5862" s="5">
        <v>41549</v>
      </c>
      <c r="E5862" s="4" t="s">
        <v>5185</v>
      </c>
      <c r="F5862" s="4" t="s">
        <v>5185</v>
      </c>
    </row>
    <row r="5863" spans="1:6" x14ac:dyDescent="0.25">
      <c r="A5863" s="4" t="str">
        <f>CONCATENATE("3071-0000-6497","")</f>
        <v>3071-0000-6497</v>
      </c>
      <c r="B5863" s="4" t="s">
        <v>7774</v>
      </c>
      <c r="C5863" s="5">
        <v>41489</v>
      </c>
      <c r="D5863" s="5">
        <v>41549</v>
      </c>
      <c r="E5863" s="4" t="s">
        <v>5185</v>
      </c>
      <c r="F5863" s="4" t="s">
        <v>5185</v>
      </c>
    </row>
    <row r="5864" spans="1:6" x14ac:dyDescent="0.25">
      <c r="A5864" s="4" t="str">
        <f>CONCATENATE("3071-0000-3635","")</f>
        <v>3071-0000-3635</v>
      </c>
      <c r="B5864" s="4" t="s">
        <v>1633</v>
      </c>
      <c r="C5864" s="5">
        <v>41489</v>
      </c>
      <c r="D5864" s="5">
        <v>41549</v>
      </c>
      <c r="E5864" s="4" t="s">
        <v>1410</v>
      </c>
      <c r="F5864" s="4" t="s">
        <v>1410</v>
      </c>
    </row>
    <row r="5865" spans="1:6" x14ac:dyDescent="0.25">
      <c r="A5865" s="4" t="str">
        <f>CONCATENATE("3071-0000-8631","")</f>
        <v>3071-0000-8631</v>
      </c>
      <c r="B5865" s="4" t="s">
        <v>6097</v>
      </c>
      <c r="C5865" s="5">
        <v>41489</v>
      </c>
      <c r="D5865" s="5">
        <v>41549</v>
      </c>
      <c r="E5865" s="4" t="s">
        <v>5185</v>
      </c>
      <c r="F5865" s="4" t="s">
        <v>5945</v>
      </c>
    </row>
    <row r="5866" spans="1:6" x14ac:dyDescent="0.25">
      <c r="A5866" s="4" t="str">
        <f>CONCATENATE("3071-0000-8484","")</f>
        <v>3071-0000-8484</v>
      </c>
      <c r="B5866" s="4" t="s">
        <v>6093</v>
      </c>
      <c r="C5866" s="5">
        <v>41489</v>
      </c>
      <c r="D5866" s="5">
        <v>41549</v>
      </c>
      <c r="E5866" s="4" t="s">
        <v>5185</v>
      </c>
      <c r="F5866" s="4" t="s">
        <v>5945</v>
      </c>
    </row>
    <row r="5867" spans="1:6" x14ac:dyDescent="0.25">
      <c r="A5867" s="4" t="str">
        <f>CONCATENATE("3071-0000-8608","")</f>
        <v>3071-0000-8608</v>
      </c>
      <c r="B5867" s="4" t="s">
        <v>6099</v>
      </c>
      <c r="C5867" s="5">
        <v>41489</v>
      </c>
      <c r="D5867" s="5">
        <v>41549</v>
      </c>
      <c r="E5867" s="4" t="s">
        <v>5185</v>
      </c>
      <c r="F5867" s="4" t="s">
        <v>5945</v>
      </c>
    </row>
    <row r="5868" spans="1:6" x14ac:dyDescent="0.25">
      <c r="A5868" s="4" t="str">
        <f>CONCATENATE("3071-0000-8328","")</f>
        <v>3071-0000-8328</v>
      </c>
      <c r="B5868" s="4" t="s">
        <v>5853</v>
      </c>
      <c r="C5868" s="5">
        <v>41489</v>
      </c>
      <c r="D5868" s="5">
        <v>41549</v>
      </c>
      <c r="E5868" s="4" t="s">
        <v>5185</v>
      </c>
      <c r="F5868" s="4" t="s">
        <v>5185</v>
      </c>
    </row>
    <row r="5869" spans="1:6" x14ac:dyDescent="0.25">
      <c r="A5869" s="4" t="str">
        <f>CONCATENATE("3071-0000-8120","")</f>
        <v>3071-0000-8120</v>
      </c>
      <c r="B5869" s="4" t="s">
        <v>6021</v>
      </c>
      <c r="C5869" s="5">
        <v>41489</v>
      </c>
      <c r="D5869" s="5">
        <v>41549</v>
      </c>
      <c r="E5869" s="4" t="s">
        <v>5185</v>
      </c>
      <c r="F5869" s="4" t="s">
        <v>5185</v>
      </c>
    </row>
    <row r="5870" spans="1:6" x14ac:dyDescent="0.25">
      <c r="A5870" s="4" t="str">
        <f>CONCATENATE("3071-0000-8486","")</f>
        <v>3071-0000-8486</v>
      </c>
      <c r="B5870" s="4" t="s">
        <v>6114</v>
      </c>
      <c r="C5870" s="5">
        <v>41489</v>
      </c>
      <c r="D5870" s="5">
        <v>41549</v>
      </c>
      <c r="E5870" s="4" t="s">
        <v>5185</v>
      </c>
      <c r="F5870" s="4" t="s">
        <v>5945</v>
      </c>
    </row>
    <row r="5871" spans="1:6" x14ac:dyDescent="0.25">
      <c r="A5871" s="4" t="str">
        <f>CONCATENATE("3071-0000-2466","")</f>
        <v>3071-0000-2466</v>
      </c>
      <c r="B5871" s="4" t="s">
        <v>3416</v>
      </c>
      <c r="C5871" s="5">
        <v>41489</v>
      </c>
      <c r="D5871" s="5">
        <v>41549</v>
      </c>
      <c r="E5871" s="4" t="s">
        <v>1857</v>
      </c>
      <c r="F5871" s="4" t="s">
        <v>3306</v>
      </c>
    </row>
    <row r="5872" spans="1:6" x14ac:dyDescent="0.25">
      <c r="A5872" s="4" t="str">
        <f>CONCATENATE("3071-0000-7362","")</f>
        <v>3071-0000-7362</v>
      </c>
      <c r="B5872" s="4" t="s">
        <v>4736</v>
      </c>
      <c r="C5872" s="5">
        <v>41489</v>
      </c>
      <c r="D5872" s="5">
        <v>41549</v>
      </c>
      <c r="E5872" s="4" t="s">
        <v>1410</v>
      </c>
      <c r="F5872" s="4" t="s">
        <v>1410</v>
      </c>
    </row>
    <row r="5873" spans="1:6" x14ac:dyDescent="0.25">
      <c r="A5873" s="4" t="str">
        <f>CONCATENATE("3071-0000-3978","")</f>
        <v>3071-0000-3978</v>
      </c>
      <c r="B5873" s="4" t="s">
        <v>3924</v>
      </c>
      <c r="C5873" s="5">
        <v>41489</v>
      </c>
      <c r="D5873" s="5">
        <v>41549</v>
      </c>
      <c r="E5873" s="4" t="s">
        <v>2944</v>
      </c>
      <c r="F5873" s="4" t="s">
        <v>3513</v>
      </c>
    </row>
    <row r="5874" spans="1:6" x14ac:dyDescent="0.25">
      <c r="A5874" s="4" t="str">
        <f>CONCATENATE("3071-0000-5230","")</f>
        <v>3071-0000-5230</v>
      </c>
      <c r="B5874" s="4" t="s">
        <v>6672</v>
      </c>
      <c r="C5874" s="5">
        <v>41489</v>
      </c>
      <c r="D5874" s="5">
        <v>41549</v>
      </c>
      <c r="E5874" s="4" t="s">
        <v>5185</v>
      </c>
      <c r="F5874" s="4" t="s">
        <v>5185</v>
      </c>
    </row>
    <row r="5875" spans="1:6" x14ac:dyDescent="0.25">
      <c r="A5875" s="4" t="str">
        <f>CONCATENATE("3071-0000-5232","")</f>
        <v>3071-0000-5232</v>
      </c>
      <c r="B5875" s="4" t="s">
        <v>6679</v>
      </c>
      <c r="C5875" s="5">
        <v>41489</v>
      </c>
      <c r="D5875" s="5">
        <v>41549</v>
      </c>
      <c r="E5875" s="4" t="s">
        <v>5185</v>
      </c>
      <c r="F5875" s="4" t="s">
        <v>5185</v>
      </c>
    </row>
    <row r="5876" spans="1:6" x14ac:dyDescent="0.25">
      <c r="A5876" s="4" t="str">
        <f>CONCATENATE("3071-0000-4368","")</f>
        <v>3071-0000-4368</v>
      </c>
      <c r="B5876" s="4" t="s">
        <v>9430</v>
      </c>
      <c r="C5876" s="5">
        <v>41489</v>
      </c>
      <c r="D5876" s="5">
        <v>41549</v>
      </c>
      <c r="E5876" s="4" t="s">
        <v>1410</v>
      </c>
      <c r="F5876" s="4" t="s">
        <v>8696</v>
      </c>
    </row>
    <row r="5877" spans="1:6" x14ac:dyDescent="0.25">
      <c r="A5877" s="4" t="str">
        <f>CONCATENATE("3071-0000-5451","")</f>
        <v>3071-0000-5451</v>
      </c>
      <c r="B5877" s="4" t="s">
        <v>6647</v>
      </c>
      <c r="C5877" s="5">
        <v>41489</v>
      </c>
      <c r="D5877" s="5">
        <v>41549</v>
      </c>
      <c r="E5877" s="4" t="s">
        <v>5185</v>
      </c>
      <c r="F5877" s="4" t="s">
        <v>5185</v>
      </c>
    </row>
    <row r="5878" spans="1:6" x14ac:dyDescent="0.25">
      <c r="A5878" s="4" t="str">
        <f>CONCATENATE("3071-0000-6419","")</f>
        <v>3071-0000-6419</v>
      </c>
      <c r="B5878" s="4" t="s">
        <v>8124</v>
      </c>
      <c r="C5878" s="5">
        <v>41489</v>
      </c>
      <c r="D5878" s="5">
        <v>41549</v>
      </c>
      <c r="E5878" s="4" t="s">
        <v>5185</v>
      </c>
      <c r="F5878" s="4" t="s">
        <v>5185</v>
      </c>
    </row>
    <row r="5879" spans="1:6" x14ac:dyDescent="0.25">
      <c r="A5879" s="4" t="str">
        <f>CONCATENATE("3071-0000-5227","")</f>
        <v>3071-0000-5227</v>
      </c>
      <c r="B5879" s="4" t="s">
        <v>6674</v>
      </c>
      <c r="C5879" s="5">
        <v>41489</v>
      </c>
      <c r="D5879" s="5">
        <v>41549</v>
      </c>
      <c r="E5879" s="4" t="s">
        <v>5185</v>
      </c>
      <c r="F5879" s="4" t="s">
        <v>5185</v>
      </c>
    </row>
    <row r="5880" spans="1:6" x14ac:dyDescent="0.25">
      <c r="A5880" s="4" t="str">
        <f>CONCATENATE("3071-0000-3983","")</f>
        <v>3071-0000-3983</v>
      </c>
      <c r="B5880" s="4" t="s">
        <v>3951</v>
      </c>
      <c r="C5880" s="5">
        <v>41489</v>
      </c>
      <c r="D5880" s="5">
        <v>41549</v>
      </c>
      <c r="E5880" s="4" t="s">
        <v>2944</v>
      </c>
      <c r="F5880" s="4" t="s">
        <v>3513</v>
      </c>
    </row>
    <row r="5881" spans="1:6" x14ac:dyDescent="0.25">
      <c r="A5881" s="4" t="str">
        <f>CONCATENATE("3071-0000-5236","")</f>
        <v>3071-0000-5236</v>
      </c>
      <c r="B5881" s="4" t="s">
        <v>6669</v>
      </c>
      <c r="C5881" s="5">
        <v>41489</v>
      </c>
      <c r="D5881" s="5">
        <v>41549</v>
      </c>
      <c r="E5881" s="4" t="s">
        <v>5185</v>
      </c>
      <c r="F5881" s="4" t="s">
        <v>5185</v>
      </c>
    </row>
    <row r="5882" spans="1:6" x14ac:dyDescent="0.25">
      <c r="A5882" s="4" t="str">
        <f>CONCATENATE("3071-0000-4008","")</f>
        <v>3071-0000-4008</v>
      </c>
      <c r="B5882" s="4" t="s">
        <v>4160</v>
      </c>
      <c r="C5882" s="5">
        <v>41489</v>
      </c>
      <c r="D5882" s="5">
        <v>41549</v>
      </c>
      <c r="E5882" s="4" t="s">
        <v>2944</v>
      </c>
      <c r="F5882" s="4" t="s">
        <v>3513</v>
      </c>
    </row>
    <row r="5883" spans="1:6" x14ac:dyDescent="0.25">
      <c r="A5883" s="4" t="str">
        <f>CONCATENATE("3071-0000-3956","")</f>
        <v>3071-0000-3956</v>
      </c>
      <c r="B5883" s="4" t="s">
        <v>3937</v>
      </c>
      <c r="C5883" s="5">
        <v>41489</v>
      </c>
      <c r="D5883" s="5">
        <v>41549</v>
      </c>
      <c r="E5883" s="4" t="s">
        <v>2944</v>
      </c>
      <c r="F5883" s="4" t="s">
        <v>3513</v>
      </c>
    </row>
    <row r="5884" spans="1:6" x14ac:dyDescent="0.25">
      <c r="A5884" s="4" t="str">
        <f>CONCATENATE("3071-0000-3979","")</f>
        <v>3071-0000-3979</v>
      </c>
      <c r="B5884" s="4" t="s">
        <v>3950</v>
      </c>
      <c r="C5884" s="5">
        <v>41489</v>
      </c>
      <c r="D5884" s="5">
        <v>41549</v>
      </c>
      <c r="E5884" s="4" t="s">
        <v>2944</v>
      </c>
      <c r="F5884" s="4" t="s">
        <v>3513</v>
      </c>
    </row>
    <row r="5885" spans="1:6" x14ac:dyDescent="0.25">
      <c r="A5885" s="4" t="str">
        <f>CONCATENATE("3071-0000-5682","")</f>
        <v>3071-0000-5682</v>
      </c>
      <c r="B5885" s="4" t="s">
        <v>7555</v>
      </c>
      <c r="C5885" s="5">
        <v>41489</v>
      </c>
      <c r="D5885" s="5">
        <v>41549</v>
      </c>
      <c r="E5885" s="4" t="s">
        <v>5185</v>
      </c>
      <c r="F5885" s="4" t="s">
        <v>5185</v>
      </c>
    </row>
    <row r="5886" spans="1:6" x14ac:dyDescent="0.25">
      <c r="A5886" s="4" t="str">
        <f>CONCATENATE("3071-0000-6941","")</f>
        <v>3071-0000-6941</v>
      </c>
      <c r="B5886" s="4" t="s">
        <v>4545</v>
      </c>
      <c r="C5886" s="5">
        <v>41489</v>
      </c>
      <c r="D5886" s="5">
        <v>41549</v>
      </c>
      <c r="E5886" s="4" t="s">
        <v>1410</v>
      </c>
      <c r="F5886" s="4" t="s">
        <v>1410</v>
      </c>
    </row>
    <row r="5887" spans="1:6" x14ac:dyDescent="0.25">
      <c r="A5887" s="4" t="str">
        <f>CONCATENATE("3071-0000-4586","")</f>
        <v>3071-0000-4586</v>
      </c>
      <c r="B5887" s="4" t="s">
        <v>9612</v>
      </c>
      <c r="C5887" s="5">
        <v>41489</v>
      </c>
      <c r="D5887" s="5">
        <v>41549</v>
      </c>
      <c r="E5887" s="4" t="s">
        <v>1410</v>
      </c>
      <c r="F5887" s="4" t="s">
        <v>8696</v>
      </c>
    </row>
    <row r="5888" spans="1:6" x14ac:dyDescent="0.25">
      <c r="A5888" s="4" t="str">
        <f>CONCATENATE("3071-0000-5008","")</f>
        <v>3071-0000-5008</v>
      </c>
      <c r="B5888" s="4" t="s">
        <v>9595</v>
      </c>
      <c r="C5888" s="5">
        <v>41489</v>
      </c>
      <c r="D5888" s="5">
        <v>41549</v>
      </c>
      <c r="E5888" s="4" t="s">
        <v>7069</v>
      </c>
      <c r="F5888" s="4" t="s">
        <v>9485</v>
      </c>
    </row>
    <row r="5889" spans="1:6" x14ac:dyDescent="0.25">
      <c r="A5889" s="4" t="str">
        <f>CONCATENATE("3071-0000-4899","")</f>
        <v>3071-0000-4899</v>
      </c>
      <c r="B5889" s="4" t="s">
        <v>9575</v>
      </c>
      <c r="C5889" s="5">
        <v>41489</v>
      </c>
      <c r="D5889" s="5">
        <v>41549</v>
      </c>
      <c r="E5889" s="4" t="s">
        <v>7069</v>
      </c>
      <c r="F5889" s="4" t="s">
        <v>9485</v>
      </c>
    </row>
    <row r="5890" spans="1:6" x14ac:dyDescent="0.25">
      <c r="A5890" s="4" t="str">
        <f>CONCATENATE("3071-0000-4579","")</f>
        <v>3071-0000-4579</v>
      </c>
      <c r="B5890" s="4" t="s">
        <v>9600</v>
      </c>
      <c r="C5890" s="5">
        <v>41489</v>
      </c>
      <c r="D5890" s="5">
        <v>41549</v>
      </c>
      <c r="E5890" s="4" t="s">
        <v>1410</v>
      </c>
      <c r="F5890" s="4" t="s">
        <v>8696</v>
      </c>
    </row>
    <row r="5891" spans="1:6" x14ac:dyDescent="0.25">
      <c r="A5891" s="4" t="str">
        <f>CONCATENATE("3071-0000-4594","")</f>
        <v>3071-0000-4594</v>
      </c>
      <c r="B5891" s="4" t="s">
        <v>9626</v>
      </c>
      <c r="C5891" s="5">
        <v>41489</v>
      </c>
      <c r="D5891" s="5">
        <v>41549</v>
      </c>
      <c r="E5891" s="4" t="s">
        <v>1410</v>
      </c>
      <c r="F5891" s="4" t="s">
        <v>8696</v>
      </c>
    </row>
    <row r="5892" spans="1:6" x14ac:dyDescent="0.25">
      <c r="A5892" s="4" t="str">
        <f>CONCATENATE("3071-0000-5009","")</f>
        <v>3071-0000-5009</v>
      </c>
      <c r="B5892" s="4" t="s">
        <v>9625</v>
      </c>
      <c r="C5892" s="5">
        <v>41489</v>
      </c>
      <c r="D5892" s="5">
        <v>41549</v>
      </c>
      <c r="E5892" s="4" t="s">
        <v>7069</v>
      </c>
      <c r="F5892" s="4" t="s">
        <v>9485</v>
      </c>
    </row>
    <row r="5893" spans="1:6" x14ac:dyDescent="0.25">
      <c r="A5893" s="4" t="str">
        <f>CONCATENATE("3071-0000-5051","")</f>
        <v>3071-0000-5051</v>
      </c>
      <c r="B5893" s="4" t="s">
        <v>9631</v>
      </c>
      <c r="C5893" s="5">
        <v>41489</v>
      </c>
      <c r="D5893" s="5">
        <v>41549</v>
      </c>
      <c r="E5893" s="4" t="s">
        <v>7069</v>
      </c>
      <c r="F5893" s="4" t="s">
        <v>9485</v>
      </c>
    </row>
    <row r="5894" spans="1:6" x14ac:dyDescent="0.25">
      <c r="A5894" s="4" t="str">
        <f>CONCATENATE("3071-0000-1403","")</f>
        <v>3071-0000-1403</v>
      </c>
      <c r="B5894" s="4" t="s">
        <v>2626</v>
      </c>
      <c r="C5894" s="5">
        <v>41489</v>
      </c>
      <c r="D5894" s="5">
        <v>41549</v>
      </c>
      <c r="E5894" s="4" t="s">
        <v>1381</v>
      </c>
      <c r="F5894" s="4" t="s">
        <v>2303</v>
      </c>
    </row>
    <row r="5895" spans="1:6" x14ac:dyDescent="0.25">
      <c r="A5895" s="4" t="str">
        <f>CONCATENATE("3071-0000-1764","")</f>
        <v>3071-0000-1764</v>
      </c>
      <c r="B5895" s="4" t="s">
        <v>2912</v>
      </c>
      <c r="C5895" s="5">
        <v>41489</v>
      </c>
      <c r="D5895" s="5">
        <v>41549</v>
      </c>
      <c r="E5895" s="4" t="s">
        <v>1381</v>
      </c>
      <c r="F5895" s="4" t="s">
        <v>2662</v>
      </c>
    </row>
    <row r="5896" spans="1:6" x14ac:dyDescent="0.25">
      <c r="A5896" s="4" t="str">
        <f>CONCATENATE("3071-0000-1420","")</f>
        <v>3071-0000-1420</v>
      </c>
      <c r="B5896" s="4" t="s">
        <v>2644</v>
      </c>
      <c r="C5896" s="5">
        <v>41489</v>
      </c>
      <c r="D5896" s="5">
        <v>41549</v>
      </c>
      <c r="E5896" s="4" t="s">
        <v>1381</v>
      </c>
      <c r="F5896" s="4" t="s">
        <v>2303</v>
      </c>
    </row>
    <row r="5897" spans="1:6" x14ac:dyDescent="0.25">
      <c r="A5897" s="4" t="str">
        <f>CONCATENATE("3071-0000-1408","")</f>
        <v>3071-0000-1408</v>
      </c>
      <c r="B5897" s="4" t="s">
        <v>2630</v>
      </c>
      <c r="C5897" s="5">
        <v>41489</v>
      </c>
      <c r="D5897" s="5">
        <v>41549</v>
      </c>
      <c r="E5897" s="4" t="s">
        <v>1381</v>
      </c>
      <c r="F5897" s="4" t="s">
        <v>2303</v>
      </c>
    </row>
    <row r="5898" spans="1:6" x14ac:dyDescent="0.25">
      <c r="A5898" s="4" t="str">
        <f>CONCATENATE("3071-0000-1415","")</f>
        <v>3071-0000-1415</v>
      </c>
      <c r="B5898" s="4" t="s">
        <v>2639</v>
      </c>
      <c r="C5898" s="5">
        <v>41489</v>
      </c>
      <c r="D5898" s="5">
        <v>41549</v>
      </c>
      <c r="E5898" s="4" t="s">
        <v>1381</v>
      </c>
      <c r="F5898" s="4" t="s">
        <v>2303</v>
      </c>
    </row>
    <row r="5899" spans="1:6" x14ac:dyDescent="0.25">
      <c r="A5899" s="4" t="str">
        <f>CONCATENATE("3071-0000-1412","")</f>
        <v>3071-0000-1412</v>
      </c>
      <c r="B5899" s="4" t="s">
        <v>2636</v>
      </c>
      <c r="C5899" s="5">
        <v>41489</v>
      </c>
      <c r="D5899" s="5">
        <v>41549</v>
      </c>
      <c r="E5899" s="4" t="s">
        <v>1381</v>
      </c>
      <c r="F5899" s="4" t="s">
        <v>2303</v>
      </c>
    </row>
    <row r="5900" spans="1:6" x14ac:dyDescent="0.25">
      <c r="A5900" s="4" t="str">
        <f>CONCATENATE("3071-0000-1410","")</f>
        <v>3071-0000-1410</v>
      </c>
      <c r="B5900" s="4" t="s">
        <v>2632</v>
      </c>
      <c r="C5900" s="5">
        <v>41489</v>
      </c>
      <c r="D5900" s="5">
        <v>41549</v>
      </c>
      <c r="E5900" s="4" t="s">
        <v>1381</v>
      </c>
      <c r="F5900" s="4" t="s">
        <v>2303</v>
      </c>
    </row>
    <row r="5901" spans="1:6" x14ac:dyDescent="0.25">
      <c r="A5901" s="4" t="str">
        <f>CONCATENATE("3071-0000-8335","")</f>
        <v>3071-0000-8335</v>
      </c>
      <c r="B5901" s="4" t="s">
        <v>5864</v>
      </c>
      <c r="C5901" s="5">
        <v>41489</v>
      </c>
      <c r="D5901" s="5">
        <v>41549</v>
      </c>
      <c r="E5901" s="4" t="s">
        <v>5185</v>
      </c>
      <c r="F5901" s="4" t="s">
        <v>5185</v>
      </c>
    </row>
    <row r="5902" spans="1:6" x14ac:dyDescent="0.25">
      <c r="A5902" s="4" t="str">
        <f>CONCATENATE("3071-0000-4870","")</f>
        <v>3071-0000-4870</v>
      </c>
      <c r="B5902" s="4" t="s">
        <v>9465</v>
      </c>
      <c r="C5902" s="5">
        <v>41489</v>
      </c>
      <c r="D5902" s="5">
        <v>41549</v>
      </c>
      <c r="E5902" s="4" t="s">
        <v>7069</v>
      </c>
      <c r="F5902" s="4" t="s">
        <v>9210</v>
      </c>
    </row>
    <row r="5903" spans="1:6" x14ac:dyDescent="0.25">
      <c r="A5903" s="4" t="str">
        <f>CONCATENATE("3071-0000-5754","")</f>
        <v>3071-0000-5754</v>
      </c>
      <c r="B5903" s="4" t="s">
        <v>7147</v>
      </c>
      <c r="C5903" s="5">
        <v>41489</v>
      </c>
      <c r="D5903" s="5">
        <v>41549</v>
      </c>
      <c r="E5903" s="4" t="s">
        <v>7069</v>
      </c>
      <c r="F5903" s="4" t="s">
        <v>7120</v>
      </c>
    </row>
    <row r="5904" spans="1:6" x14ac:dyDescent="0.25">
      <c r="A5904" s="4" t="str">
        <f>CONCATENATE("3071-0000-8188","")</f>
        <v>3071-0000-8188</v>
      </c>
      <c r="B5904" s="4" t="s">
        <v>5899</v>
      </c>
      <c r="C5904" s="5">
        <v>41489</v>
      </c>
      <c r="D5904" s="5">
        <v>41549</v>
      </c>
      <c r="E5904" s="4" t="s">
        <v>5185</v>
      </c>
      <c r="F5904" s="4" t="s">
        <v>5185</v>
      </c>
    </row>
    <row r="5905" spans="1:6" x14ac:dyDescent="0.25">
      <c r="A5905" s="4" t="str">
        <f>CONCATENATE("3071-0000-8062","")</f>
        <v>3071-0000-8062</v>
      </c>
      <c r="B5905" s="4" t="s">
        <v>5897</v>
      </c>
      <c r="C5905" s="5">
        <v>41489</v>
      </c>
      <c r="D5905" s="5">
        <v>41549</v>
      </c>
      <c r="E5905" s="4" t="s">
        <v>5185</v>
      </c>
      <c r="F5905" s="4" t="s">
        <v>5185</v>
      </c>
    </row>
    <row r="5906" spans="1:6" x14ac:dyDescent="0.25">
      <c r="A5906" s="4" t="str">
        <f>CONCATENATE("3071-0000-1573","")</f>
        <v>3071-0000-1573</v>
      </c>
      <c r="B5906" s="4" t="s">
        <v>2900</v>
      </c>
      <c r="C5906" s="5">
        <v>41489</v>
      </c>
      <c r="D5906" s="5">
        <v>41549</v>
      </c>
      <c r="E5906" s="4" t="s">
        <v>1381</v>
      </c>
      <c r="F5906" s="4" t="s">
        <v>2303</v>
      </c>
    </row>
    <row r="5907" spans="1:6" x14ac:dyDescent="0.25">
      <c r="A5907" s="4" t="str">
        <f>CONCATENATE("3071-0000-1478","")</f>
        <v>3071-0000-1478</v>
      </c>
      <c r="B5907" s="4" t="s">
        <v>2927</v>
      </c>
      <c r="C5907" s="5">
        <v>41489</v>
      </c>
      <c r="D5907" s="5">
        <v>41549</v>
      </c>
      <c r="E5907" s="4" t="s">
        <v>1381</v>
      </c>
      <c r="F5907" s="4" t="s">
        <v>2303</v>
      </c>
    </row>
    <row r="5908" spans="1:6" x14ac:dyDescent="0.25">
      <c r="A5908" s="4" t="str">
        <f>CONCATENATE("3071-0000-1473","")</f>
        <v>3071-0000-1473</v>
      </c>
      <c r="B5908" s="4" t="s">
        <v>2924</v>
      </c>
      <c r="C5908" s="5">
        <v>41489</v>
      </c>
      <c r="D5908" s="5">
        <v>41549</v>
      </c>
      <c r="E5908" s="4" t="s">
        <v>1381</v>
      </c>
      <c r="F5908" s="4" t="s">
        <v>2303</v>
      </c>
    </row>
    <row r="5909" spans="1:6" x14ac:dyDescent="0.25">
      <c r="A5909" s="4" t="str">
        <f>CONCATENATE("3071-0000-1704","")</f>
        <v>3071-0000-1704</v>
      </c>
      <c r="B5909" s="4" t="s">
        <v>2698</v>
      </c>
      <c r="C5909" s="5">
        <v>41489</v>
      </c>
      <c r="D5909" s="5">
        <v>41549</v>
      </c>
      <c r="E5909" s="4" t="s">
        <v>1381</v>
      </c>
      <c r="F5909" s="4" t="s">
        <v>1382</v>
      </c>
    </row>
    <row r="5910" spans="1:6" x14ac:dyDescent="0.25">
      <c r="A5910" s="4" t="str">
        <f>CONCATENATE("3071-0000-2092","")</f>
        <v>3071-0000-2092</v>
      </c>
      <c r="B5910" s="4" t="s">
        <v>3478</v>
      </c>
      <c r="C5910" s="5">
        <v>41489</v>
      </c>
      <c r="D5910" s="5">
        <v>41549</v>
      </c>
      <c r="E5910" s="4" t="s">
        <v>2944</v>
      </c>
      <c r="F5910" s="4" t="s">
        <v>2945</v>
      </c>
    </row>
    <row r="5911" spans="1:6" x14ac:dyDescent="0.25">
      <c r="A5911" s="4" t="str">
        <f>CONCATENATE("3071-0000-5490","")</f>
        <v>3071-0000-5490</v>
      </c>
      <c r="B5911" s="4" t="s">
        <v>6760</v>
      </c>
      <c r="C5911" s="5">
        <v>41489</v>
      </c>
      <c r="D5911" s="5">
        <v>41549</v>
      </c>
      <c r="E5911" s="4" t="s">
        <v>1410</v>
      </c>
      <c r="F5911" s="4" t="s">
        <v>6635</v>
      </c>
    </row>
    <row r="5912" spans="1:6" x14ac:dyDescent="0.25">
      <c r="A5912" s="4" t="str">
        <f>CONCATENATE("3071-0000-7256","")</f>
        <v>3071-0000-7256</v>
      </c>
      <c r="B5912" s="4" t="s">
        <v>4909</v>
      </c>
      <c r="C5912" s="5">
        <v>41489</v>
      </c>
      <c r="D5912" s="5">
        <v>41549</v>
      </c>
      <c r="E5912" s="4" t="s">
        <v>1410</v>
      </c>
      <c r="F5912" s="4" t="s">
        <v>1410</v>
      </c>
    </row>
    <row r="5913" spans="1:6" x14ac:dyDescent="0.25">
      <c r="A5913" s="4" t="str">
        <f>CONCATENATE("3071-0000-9120","")</f>
        <v>3071-0000-9120</v>
      </c>
      <c r="B5913" s="4" t="s">
        <v>5468</v>
      </c>
      <c r="C5913" s="5">
        <v>41489</v>
      </c>
      <c r="D5913" s="5">
        <v>41549</v>
      </c>
      <c r="E5913" s="4" t="s">
        <v>5185</v>
      </c>
      <c r="F5913" s="4" t="s">
        <v>5250</v>
      </c>
    </row>
    <row r="5914" spans="1:6" x14ac:dyDescent="0.25">
      <c r="A5914" s="4" t="str">
        <f>CONCATENATE("3071-0000-6066","")</f>
        <v>3071-0000-6066</v>
      </c>
      <c r="B5914" s="4" t="s">
        <v>6953</v>
      </c>
      <c r="C5914" s="5">
        <v>41489</v>
      </c>
      <c r="D5914" s="5">
        <v>41549</v>
      </c>
      <c r="E5914" s="4" t="s">
        <v>1410</v>
      </c>
      <c r="F5914" s="4" t="s">
        <v>4616</v>
      </c>
    </row>
    <row r="5915" spans="1:6" x14ac:dyDescent="0.25">
      <c r="A5915" s="4" t="str">
        <f>CONCATENATE("3071-0000-5248","")</f>
        <v>3071-0000-5248</v>
      </c>
      <c r="B5915" s="4" t="s">
        <v>6715</v>
      </c>
      <c r="C5915" s="5">
        <v>41489</v>
      </c>
      <c r="D5915" s="5">
        <v>41549</v>
      </c>
      <c r="E5915" s="4" t="s">
        <v>5185</v>
      </c>
      <c r="F5915" s="4" t="s">
        <v>5185</v>
      </c>
    </row>
    <row r="5916" spans="1:6" x14ac:dyDescent="0.25">
      <c r="A5916" s="4" t="str">
        <f>CONCATENATE("3071-0000-5469","")</f>
        <v>3071-0000-5469</v>
      </c>
      <c r="B5916" s="4" t="s">
        <v>6775</v>
      </c>
      <c r="C5916" s="5">
        <v>41489</v>
      </c>
      <c r="D5916" s="5">
        <v>41549</v>
      </c>
      <c r="E5916" s="4" t="s">
        <v>5185</v>
      </c>
      <c r="F5916" s="4" t="s">
        <v>5185</v>
      </c>
    </row>
    <row r="5917" spans="1:6" x14ac:dyDescent="0.25">
      <c r="A5917" s="4" t="str">
        <f>CONCATENATE("3071-0000-5316","")</f>
        <v>3071-0000-5316</v>
      </c>
      <c r="B5917" s="4" t="s">
        <v>6808</v>
      </c>
      <c r="C5917" s="5">
        <v>41489</v>
      </c>
      <c r="D5917" s="5">
        <v>41549</v>
      </c>
      <c r="E5917" s="4" t="s">
        <v>5185</v>
      </c>
      <c r="F5917" s="4" t="s">
        <v>5185</v>
      </c>
    </row>
    <row r="5918" spans="1:6" x14ac:dyDescent="0.25">
      <c r="A5918" s="4" t="str">
        <f>CONCATENATE("3071-0000-5287","")</f>
        <v>3071-0000-5287</v>
      </c>
      <c r="B5918" s="4" t="s">
        <v>6787</v>
      </c>
      <c r="C5918" s="5">
        <v>41489</v>
      </c>
      <c r="D5918" s="5">
        <v>41549</v>
      </c>
      <c r="E5918" s="4" t="s">
        <v>5185</v>
      </c>
      <c r="F5918" s="4" t="s">
        <v>5185</v>
      </c>
    </row>
    <row r="5919" spans="1:6" x14ac:dyDescent="0.25">
      <c r="A5919" s="4" t="str">
        <f>CONCATENATE("3071-0000-7814","")</f>
        <v>3071-0000-7814</v>
      </c>
      <c r="B5919" s="4" t="s">
        <v>5512</v>
      </c>
      <c r="C5919" s="5">
        <v>41489</v>
      </c>
      <c r="D5919" s="5">
        <v>41549</v>
      </c>
      <c r="E5919" s="4" t="s">
        <v>5185</v>
      </c>
      <c r="F5919" s="4" t="s">
        <v>5185</v>
      </c>
    </row>
    <row r="5920" spans="1:6" x14ac:dyDescent="0.25">
      <c r="A5920" s="4" t="str">
        <f>CONCATENATE("3071-0000-5328","")</f>
        <v>3071-0000-5328</v>
      </c>
      <c r="B5920" s="4" t="s">
        <v>6750</v>
      </c>
      <c r="C5920" s="5">
        <v>41489</v>
      </c>
      <c r="D5920" s="5">
        <v>41549</v>
      </c>
      <c r="E5920" s="4" t="s">
        <v>5185</v>
      </c>
      <c r="F5920" s="4" t="s">
        <v>5185</v>
      </c>
    </row>
    <row r="5921" spans="1:6" x14ac:dyDescent="0.25">
      <c r="A5921" s="4" t="str">
        <f>CONCATENATE("3071-0000-0685","")</f>
        <v>3071-0000-0685</v>
      </c>
      <c r="B5921" s="4" t="s">
        <v>787</v>
      </c>
      <c r="C5921" s="5">
        <v>41489</v>
      </c>
      <c r="D5921" s="5">
        <v>41549</v>
      </c>
      <c r="E5921" s="4" t="s">
        <v>7</v>
      </c>
      <c r="F5921" s="4" t="s">
        <v>7</v>
      </c>
    </row>
    <row r="5922" spans="1:6" x14ac:dyDescent="0.25">
      <c r="A5922" s="4" t="str">
        <f>CONCATENATE("3071-0000-3720","")</f>
        <v>3071-0000-3720</v>
      </c>
      <c r="B5922" s="4" t="s">
        <v>1436</v>
      </c>
      <c r="C5922" s="5">
        <v>41489</v>
      </c>
      <c r="D5922" s="5">
        <v>41549</v>
      </c>
      <c r="E5922" s="4" t="s">
        <v>1410</v>
      </c>
      <c r="F5922" s="4" t="s">
        <v>1411</v>
      </c>
    </row>
    <row r="5923" spans="1:6" x14ac:dyDescent="0.25">
      <c r="A5923" s="4" t="str">
        <f>CONCATENATE("3071-0000-3415","")</f>
        <v>3071-0000-3415</v>
      </c>
      <c r="B5923" s="4" t="s">
        <v>1596</v>
      </c>
      <c r="C5923" s="5">
        <v>41489</v>
      </c>
      <c r="D5923" s="5">
        <v>41549</v>
      </c>
      <c r="E5923" s="4" t="s">
        <v>1410</v>
      </c>
      <c r="F5923" s="4" t="s">
        <v>1411</v>
      </c>
    </row>
    <row r="5924" spans="1:6" x14ac:dyDescent="0.25">
      <c r="A5924" s="4" t="str">
        <f>CONCATENATE("3071-0000-0059","")</f>
        <v>3071-0000-0059</v>
      </c>
      <c r="B5924" s="4" t="s">
        <v>114</v>
      </c>
      <c r="C5924" s="5">
        <v>41489</v>
      </c>
      <c r="D5924" s="5">
        <v>41549</v>
      </c>
      <c r="E5924" s="4" t="s">
        <v>7</v>
      </c>
      <c r="F5924" s="4" t="s">
        <v>7</v>
      </c>
    </row>
    <row r="5925" spans="1:6" x14ac:dyDescent="0.25">
      <c r="A5925" s="4" t="str">
        <f>CONCATENATE("3071-0000-2748","")</f>
        <v>3071-0000-2748</v>
      </c>
      <c r="B5925" s="4" t="s">
        <v>819</v>
      </c>
      <c r="C5925" s="5">
        <v>41489</v>
      </c>
      <c r="D5925" s="5">
        <v>41549</v>
      </c>
      <c r="E5925" s="4" t="s">
        <v>7</v>
      </c>
      <c r="F5925" s="4" t="s">
        <v>808</v>
      </c>
    </row>
    <row r="5926" spans="1:6" x14ac:dyDescent="0.25">
      <c r="A5926" s="4" t="str">
        <f>CONCATENATE("3071-0000-3538","")</f>
        <v>3071-0000-3538</v>
      </c>
      <c r="B5926" s="4" t="s">
        <v>1473</v>
      </c>
      <c r="C5926" s="5">
        <v>41489</v>
      </c>
      <c r="D5926" s="5">
        <v>41549</v>
      </c>
      <c r="E5926" s="4" t="s">
        <v>1410</v>
      </c>
      <c r="F5926" s="4" t="s">
        <v>1411</v>
      </c>
    </row>
    <row r="5927" spans="1:6" x14ac:dyDescent="0.25">
      <c r="A5927" s="4" t="str">
        <f>CONCATENATE("3071-0000-1355","")</f>
        <v>3071-0000-1355</v>
      </c>
      <c r="B5927" s="4" t="s">
        <v>2500</v>
      </c>
      <c r="C5927" s="5">
        <v>41489</v>
      </c>
      <c r="D5927" s="5">
        <v>41549</v>
      </c>
      <c r="E5927" s="4" t="s">
        <v>1381</v>
      </c>
      <c r="F5927" s="4" t="s">
        <v>2303</v>
      </c>
    </row>
    <row r="5928" spans="1:6" x14ac:dyDescent="0.25">
      <c r="A5928" s="4" t="str">
        <f>CONCATENATE("3071-0000-3354","")</f>
        <v>3071-0000-3354</v>
      </c>
      <c r="B5928" s="4" t="s">
        <v>1483</v>
      </c>
      <c r="C5928" s="5">
        <v>41489</v>
      </c>
      <c r="D5928" s="5">
        <v>41549</v>
      </c>
      <c r="E5928" s="4" t="s">
        <v>1410</v>
      </c>
      <c r="F5928" s="4" t="s">
        <v>1411</v>
      </c>
    </row>
    <row r="5929" spans="1:6" x14ac:dyDescent="0.25">
      <c r="A5929" s="4" t="str">
        <f>CONCATENATE("3071-0000-4119","")</f>
        <v>3071-0000-4119</v>
      </c>
      <c r="B5929" s="4" t="s">
        <v>4186</v>
      </c>
      <c r="C5929" s="5">
        <v>41489</v>
      </c>
      <c r="D5929" s="5">
        <v>41549</v>
      </c>
      <c r="E5929" s="4" t="s">
        <v>7</v>
      </c>
      <c r="F5929" s="4" t="s">
        <v>1419</v>
      </c>
    </row>
    <row r="5930" spans="1:6" x14ac:dyDescent="0.25">
      <c r="A5930" s="4" t="str">
        <f>CONCATENATE("3071-0000-2150","")</f>
        <v>3071-0000-2150</v>
      </c>
      <c r="B5930" s="4" t="s">
        <v>3162</v>
      </c>
      <c r="C5930" s="5">
        <v>41489</v>
      </c>
      <c r="D5930" s="5">
        <v>41549</v>
      </c>
      <c r="E5930" s="4" t="s">
        <v>2944</v>
      </c>
      <c r="F5930" s="4" t="s">
        <v>2945</v>
      </c>
    </row>
    <row r="5931" spans="1:6" x14ac:dyDescent="0.25">
      <c r="A5931" s="4" t="str">
        <f>CONCATENATE("3071-0000-4422","")</f>
        <v>3071-0000-4422</v>
      </c>
      <c r="B5931" s="4" t="s">
        <v>9288</v>
      </c>
      <c r="C5931" s="5">
        <v>41489</v>
      </c>
      <c r="D5931" s="5">
        <v>41549</v>
      </c>
      <c r="E5931" s="4" t="s">
        <v>1410</v>
      </c>
      <c r="F5931" s="4" t="s">
        <v>8696</v>
      </c>
    </row>
    <row r="5932" spans="1:6" x14ac:dyDescent="0.25">
      <c r="A5932" s="4" t="str">
        <f>CONCATENATE("3071-0000-0165","")</f>
        <v>3071-0000-0165</v>
      </c>
      <c r="B5932" s="4" t="s">
        <v>349</v>
      </c>
      <c r="C5932" s="5">
        <v>41489</v>
      </c>
      <c r="D5932" s="5">
        <v>41549</v>
      </c>
      <c r="E5932" s="4" t="s">
        <v>7</v>
      </c>
      <c r="F5932" s="4" t="s">
        <v>7</v>
      </c>
    </row>
    <row r="5933" spans="1:6" x14ac:dyDescent="0.25">
      <c r="A5933" s="4" t="str">
        <f>CONCATENATE("3071-0000-5073","")</f>
        <v>3071-0000-5073</v>
      </c>
      <c r="B5933" s="4" t="s">
        <v>9467</v>
      </c>
      <c r="C5933" s="5">
        <v>41489</v>
      </c>
      <c r="D5933" s="5">
        <v>41549</v>
      </c>
      <c r="E5933" s="4" t="s">
        <v>7069</v>
      </c>
      <c r="F5933" s="4" t="s">
        <v>9210</v>
      </c>
    </row>
    <row r="5934" spans="1:6" x14ac:dyDescent="0.25">
      <c r="A5934" s="4" t="str">
        <f>CONCATENATE("3071-0000-0376","")</f>
        <v>3071-0000-0376</v>
      </c>
      <c r="B5934" s="4" t="s">
        <v>748</v>
      </c>
      <c r="C5934" s="5">
        <v>41489</v>
      </c>
      <c r="D5934" s="5">
        <v>41549</v>
      </c>
      <c r="E5934" s="4" t="s">
        <v>7</v>
      </c>
      <c r="F5934" s="4" t="s">
        <v>7</v>
      </c>
    </row>
    <row r="5935" spans="1:6" x14ac:dyDescent="0.25">
      <c r="A5935" s="4" t="str">
        <f>CONCATENATE("3071-0000-4815","")</f>
        <v>3071-0000-4815</v>
      </c>
      <c r="B5935" s="4" t="s">
        <v>9246</v>
      </c>
      <c r="C5935" s="5">
        <v>41489</v>
      </c>
      <c r="D5935" s="5">
        <v>41549</v>
      </c>
      <c r="E5935" s="4" t="s">
        <v>1410</v>
      </c>
      <c r="F5935" s="4" t="s">
        <v>8696</v>
      </c>
    </row>
    <row r="5936" spans="1:6" x14ac:dyDescent="0.25">
      <c r="A5936" s="4" t="str">
        <f>CONCATENATE("3071-0000-0545","")</f>
        <v>3071-0000-0545</v>
      </c>
      <c r="B5936" s="4" t="s">
        <v>743</v>
      </c>
      <c r="C5936" s="5">
        <v>41489</v>
      </c>
      <c r="D5936" s="5">
        <v>41549</v>
      </c>
      <c r="E5936" s="4" t="s">
        <v>7</v>
      </c>
      <c r="F5936" s="4" t="s">
        <v>273</v>
      </c>
    </row>
    <row r="5937" spans="1:6" x14ac:dyDescent="0.25">
      <c r="A5937" s="4" t="str">
        <f>CONCATENATE("3071-0000-3223","")</f>
        <v>3071-0000-3223</v>
      </c>
      <c r="B5937" s="4" t="s">
        <v>1148</v>
      </c>
      <c r="C5937" s="5">
        <v>41489</v>
      </c>
      <c r="D5937" s="5">
        <v>41549</v>
      </c>
      <c r="E5937" s="4" t="s">
        <v>7</v>
      </c>
      <c r="F5937" s="4" t="s">
        <v>808</v>
      </c>
    </row>
    <row r="5938" spans="1:6" x14ac:dyDescent="0.25">
      <c r="A5938" s="4" t="str">
        <f>CONCATENATE("3071-0000-7325","")</f>
        <v>3071-0000-7325</v>
      </c>
      <c r="B5938" s="4" t="s">
        <v>5127</v>
      </c>
      <c r="C5938" s="5">
        <v>41489</v>
      </c>
      <c r="D5938" s="5">
        <v>41549</v>
      </c>
      <c r="E5938" s="4" t="s">
        <v>1410</v>
      </c>
      <c r="F5938" s="4" t="s">
        <v>1410</v>
      </c>
    </row>
    <row r="5939" spans="1:6" x14ac:dyDescent="0.25">
      <c r="A5939" s="4" t="str">
        <f>CONCATENATE("3071-0000-2483","")</f>
        <v>3071-0000-2483</v>
      </c>
      <c r="B5939" s="4" t="s">
        <v>3602</v>
      </c>
      <c r="C5939" s="5">
        <v>41489</v>
      </c>
      <c r="D5939" s="5">
        <v>41549</v>
      </c>
      <c r="E5939" s="4" t="s">
        <v>2944</v>
      </c>
      <c r="F5939" s="4" t="s">
        <v>3593</v>
      </c>
    </row>
    <row r="5940" spans="1:6" x14ac:dyDescent="0.25">
      <c r="A5940" s="4" t="str">
        <f>CONCATENATE("3071-0000-5633","")</f>
        <v>3071-0000-5633</v>
      </c>
      <c r="B5940" s="4" t="s">
        <v>7255</v>
      </c>
      <c r="C5940" s="5">
        <v>41489</v>
      </c>
      <c r="D5940" s="5">
        <v>41549</v>
      </c>
      <c r="E5940" s="4" t="s">
        <v>5185</v>
      </c>
      <c r="F5940" s="4" t="s">
        <v>5185</v>
      </c>
    </row>
    <row r="5941" spans="1:6" x14ac:dyDescent="0.25">
      <c r="A5941" s="4" t="str">
        <f>CONCATENATE("3071-0000-0392","")</f>
        <v>3071-0000-0392</v>
      </c>
      <c r="B5941" s="4" t="s">
        <v>426</v>
      </c>
      <c r="C5941" s="5">
        <v>41489</v>
      </c>
      <c r="D5941" s="5">
        <v>41549</v>
      </c>
      <c r="E5941" s="4" t="s">
        <v>7</v>
      </c>
      <c r="F5941" s="4" t="s">
        <v>7</v>
      </c>
    </row>
    <row r="5942" spans="1:6" x14ac:dyDescent="0.25">
      <c r="A5942" s="4" t="str">
        <f>CONCATENATE("3071-0000-3283","")</f>
        <v>3071-0000-3283</v>
      </c>
      <c r="B5942" s="4" t="s">
        <v>1132</v>
      </c>
      <c r="C5942" s="5">
        <v>41489</v>
      </c>
      <c r="D5942" s="5">
        <v>41549</v>
      </c>
      <c r="E5942" s="4" t="s">
        <v>7</v>
      </c>
      <c r="F5942" s="4" t="s">
        <v>808</v>
      </c>
    </row>
    <row r="5943" spans="1:6" x14ac:dyDescent="0.25">
      <c r="A5943" s="4" t="str">
        <f>CONCATENATE("3071-0000-2440","")</f>
        <v>3071-0000-2440</v>
      </c>
      <c r="B5943" s="4" t="s">
        <v>3517</v>
      </c>
      <c r="C5943" s="5">
        <v>41489</v>
      </c>
      <c r="D5943" s="5">
        <v>41549</v>
      </c>
      <c r="E5943" s="4" t="s">
        <v>2944</v>
      </c>
      <c r="F5943" s="4" t="s">
        <v>3515</v>
      </c>
    </row>
    <row r="5944" spans="1:6" x14ac:dyDescent="0.25">
      <c r="A5944" s="4" t="str">
        <f>CONCATENATE("3071-0000-2428","")</f>
        <v>3071-0000-2428</v>
      </c>
      <c r="B5944" s="4" t="s">
        <v>3540</v>
      </c>
      <c r="C5944" s="5">
        <v>41489</v>
      </c>
      <c r="D5944" s="5">
        <v>41549</v>
      </c>
      <c r="E5944" s="4" t="s">
        <v>2944</v>
      </c>
      <c r="F5944" s="4" t="s">
        <v>3515</v>
      </c>
    </row>
    <row r="5945" spans="1:6" x14ac:dyDescent="0.25">
      <c r="A5945" s="4" t="str">
        <f>CONCATENATE("3071-0000-2122","")</f>
        <v>3071-0000-2122</v>
      </c>
      <c r="B5945" s="4" t="s">
        <v>3555</v>
      </c>
      <c r="C5945" s="5">
        <v>41489</v>
      </c>
      <c r="D5945" s="5">
        <v>41549</v>
      </c>
      <c r="E5945" s="4" t="s">
        <v>2944</v>
      </c>
      <c r="F5945" s="4" t="s">
        <v>2945</v>
      </c>
    </row>
    <row r="5946" spans="1:6" x14ac:dyDescent="0.25">
      <c r="A5946" s="4" t="str">
        <f>CONCATENATE("3071-0000-2975","")</f>
        <v>3071-0000-2975</v>
      </c>
      <c r="B5946" s="4" t="s">
        <v>864</v>
      </c>
      <c r="C5946" s="5">
        <v>41489</v>
      </c>
      <c r="D5946" s="5">
        <v>41549</v>
      </c>
      <c r="E5946" s="4" t="s">
        <v>7</v>
      </c>
      <c r="F5946" s="4" t="s">
        <v>808</v>
      </c>
    </row>
    <row r="5947" spans="1:6" x14ac:dyDescent="0.25">
      <c r="A5947" s="4" t="str">
        <f>CONCATENATE("3071-0000-3737","")</f>
        <v>3071-0000-3737</v>
      </c>
      <c r="B5947" s="4" t="s">
        <v>1667</v>
      </c>
      <c r="C5947" s="5">
        <v>41489</v>
      </c>
      <c r="D5947" s="5">
        <v>41549</v>
      </c>
      <c r="E5947" s="4" t="s">
        <v>1410</v>
      </c>
      <c r="F5947" s="4" t="s">
        <v>1601</v>
      </c>
    </row>
    <row r="5948" spans="1:6" x14ac:dyDescent="0.25">
      <c r="A5948" s="4" t="str">
        <f>CONCATENATE("3071-0000-3096","")</f>
        <v>3071-0000-3096</v>
      </c>
      <c r="B5948" s="4" t="s">
        <v>1095</v>
      </c>
      <c r="C5948" s="5">
        <v>41489</v>
      </c>
      <c r="D5948" s="5">
        <v>41549</v>
      </c>
      <c r="E5948" s="4" t="s">
        <v>7</v>
      </c>
      <c r="F5948" s="4" t="s">
        <v>808</v>
      </c>
    </row>
    <row r="5949" spans="1:6" x14ac:dyDescent="0.25">
      <c r="A5949" s="4" t="str">
        <f>CONCATENATE("3071-0000-0479","")</f>
        <v>3071-0000-0479</v>
      </c>
      <c r="B5949" s="4" t="s">
        <v>346</v>
      </c>
      <c r="C5949" s="5">
        <v>41489</v>
      </c>
      <c r="D5949" s="5">
        <v>41549</v>
      </c>
      <c r="E5949" s="4" t="s">
        <v>7</v>
      </c>
      <c r="F5949" s="4" t="s">
        <v>273</v>
      </c>
    </row>
    <row r="5950" spans="1:6" x14ac:dyDescent="0.25">
      <c r="A5950" s="4" t="str">
        <f>CONCATENATE("3071-0000-0172","")</f>
        <v>3071-0000-0172</v>
      </c>
      <c r="B5950" s="4" t="s">
        <v>363</v>
      </c>
      <c r="C5950" s="5">
        <v>41489</v>
      </c>
      <c r="D5950" s="5">
        <v>41549</v>
      </c>
      <c r="E5950" s="4" t="s">
        <v>7</v>
      </c>
      <c r="F5950" s="4" t="s">
        <v>7</v>
      </c>
    </row>
    <row r="5951" spans="1:6" x14ac:dyDescent="0.25">
      <c r="A5951" s="4" t="str">
        <f>CONCATENATE("3071-0000-3017","")</f>
        <v>3071-0000-3017</v>
      </c>
      <c r="B5951" s="4" t="s">
        <v>1326</v>
      </c>
      <c r="C5951" s="5">
        <v>41489</v>
      </c>
      <c r="D5951" s="5">
        <v>41549</v>
      </c>
      <c r="E5951" s="4" t="s">
        <v>7</v>
      </c>
      <c r="F5951" s="4" t="s">
        <v>808</v>
      </c>
    </row>
    <row r="5952" spans="1:6" x14ac:dyDescent="0.25">
      <c r="A5952" s="4" t="str">
        <f>CONCATENATE("3071-0000-3256","")</f>
        <v>3071-0000-3256</v>
      </c>
      <c r="B5952" s="4" t="s">
        <v>1337</v>
      </c>
      <c r="C5952" s="5">
        <v>41489</v>
      </c>
      <c r="D5952" s="5">
        <v>41549</v>
      </c>
      <c r="E5952" s="4" t="s">
        <v>7</v>
      </c>
      <c r="F5952" s="4" t="s">
        <v>808</v>
      </c>
    </row>
    <row r="5953" spans="1:6" x14ac:dyDescent="0.25">
      <c r="A5953" s="4" t="str">
        <f>CONCATENATE("3071-0000-3171","")</f>
        <v>3071-0000-3171</v>
      </c>
      <c r="B5953" s="4" t="s">
        <v>1292</v>
      </c>
      <c r="C5953" s="5">
        <v>41489</v>
      </c>
      <c r="D5953" s="5">
        <v>41549</v>
      </c>
      <c r="E5953" s="4" t="s">
        <v>7</v>
      </c>
      <c r="F5953" s="4" t="s">
        <v>808</v>
      </c>
    </row>
    <row r="5954" spans="1:6" x14ac:dyDescent="0.25">
      <c r="A5954" s="4" t="str">
        <f>CONCATENATE("3071-0000-3532","")</f>
        <v>3071-0000-3532</v>
      </c>
      <c r="B5954" s="4" t="s">
        <v>1729</v>
      </c>
      <c r="C5954" s="5">
        <v>41489</v>
      </c>
      <c r="D5954" s="5">
        <v>41549</v>
      </c>
      <c r="E5954" s="4" t="s">
        <v>1410</v>
      </c>
      <c r="F5954" s="4" t="s">
        <v>1411</v>
      </c>
    </row>
    <row r="5955" spans="1:6" x14ac:dyDescent="0.25">
      <c r="A5955" s="4" t="str">
        <f>CONCATENATE("3071-0000-9130","")</f>
        <v>3071-0000-9130</v>
      </c>
      <c r="B5955" s="4" t="s">
        <v>6373</v>
      </c>
      <c r="C5955" s="5">
        <v>41489</v>
      </c>
      <c r="D5955" s="5">
        <v>41549</v>
      </c>
      <c r="E5955" s="4" t="s">
        <v>5185</v>
      </c>
      <c r="F5955" s="4" t="s">
        <v>5292</v>
      </c>
    </row>
    <row r="5956" spans="1:6" x14ac:dyDescent="0.25">
      <c r="A5956" s="4" t="str">
        <f>CONCATENATE("3071-0000-8167","")</f>
        <v>3071-0000-8167</v>
      </c>
      <c r="B5956" s="4" t="s">
        <v>5224</v>
      </c>
      <c r="C5956" s="5">
        <v>41489</v>
      </c>
      <c r="D5956" s="5">
        <v>41549</v>
      </c>
      <c r="E5956" s="4" t="s">
        <v>5185</v>
      </c>
      <c r="F5956" s="4" t="s">
        <v>5185</v>
      </c>
    </row>
    <row r="5957" spans="1:6" x14ac:dyDescent="0.25">
      <c r="A5957" s="4" t="str">
        <f>CONCATENATE("3071-0000-8035","")</f>
        <v>3071-0000-8035</v>
      </c>
      <c r="B5957" s="4" t="s">
        <v>5683</v>
      </c>
      <c r="C5957" s="5">
        <v>41489</v>
      </c>
      <c r="D5957" s="5">
        <v>41549</v>
      </c>
      <c r="E5957" s="4" t="s">
        <v>5185</v>
      </c>
      <c r="F5957" s="4" t="s">
        <v>5185</v>
      </c>
    </row>
    <row r="5958" spans="1:6" x14ac:dyDescent="0.25">
      <c r="A5958" s="4" t="str">
        <f>CONCATENATE("3071-0000-5983","")</f>
        <v>3071-0000-5983</v>
      </c>
      <c r="B5958" s="4" t="s">
        <v>7235</v>
      </c>
      <c r="C5958" s="5">
        <v>41489</v>
      </c>
      <c r="D5958" s="5">
        <v>41549</v>
      </c>
      <c r="E5958" s="4" t="s">
        <v>5185</v>
      </c>
      <c r="F5958" s="4" t="s">
        <v>5185</v>
      </c>
    </row>
    <row r="5959" spans="1:6" x14ac:dyDescent="0.25">
      <c r="A5959" s="4" t="str">
        <f>CONCATENATE("3071-0000-8029","")</f>
        <v>3071-0000-8029</v>
      </c>
      <c r="B5959" s="4" t="s">
        <v>5690</v>
      </c>
      <c r="C5959" s="5">
        <v>41489</v>
      </c>
      <c r="D5959" s="5">
        <v>41549</v>
      </c>
      <c r="E5959" s="4" t="s">
        <v>5185</v>
      </c>
      <c r="F5959" s="4" t="s">
        <v>5185</v>
      </c>
    </row>
    <row r="5960" spans="1:6" x14ac:dyDescent="0.25">
      <c r="A5960" s="4" t="str">
        <f>CONCATENATE("3071-0000-8851","")</f>
        <v>3071-0000-8851</v>
      </c>
      <c r="B5960" s="4" t="s">
        <v>5500</v>
      </c>
      <c r="C5960" s="5">
        <v>41489</v>
      </c>
      <c r="D5960" s="5">
        <v>41549</v>
      </c>
      <c r="E5960" s="4" t="s">
        <v>5185</v>
      </c>
      <c r="F5960" s="4" t="s">
        <v>5250</v>
      </c>
    </row>
    <row r="5961" spans="1:6" x14ac:dyDescent="0.25">
      <c r="A5961" s="4" t="str">
        <f>CONCATENATE("3071-0000-7062","")</f>
        <v>3071-0000-7062</v>
      </c>
      <c r="B5961" s="4" t="s">
        <v>4845</v>
      </c>
      <c r="C5961" s="5">
        <v>41489</v>
      </c>
      <c r="D5961" s="5">
        <v>41549</v>
      </c>
      <c r="E5961" s="4" t="s">
        <v>1410</v>
      </c>
      <c r="F5961" s="4" t="s">
        <v>4655</v>
      </c>
    </row>
    <row r="5962" spans="1:6" x14ac:dyDescent="0.25">
      <c r="A5962" s="4" t="str">
        <f>CONCATENATE("3071-0000-5023","")</f>
        <v>3071-0000-5023</v>
      </c>
      <c r="B5962" s="4" t="s">
        <v>9569</v>
      </c>
      <c r="C5962" s="5">
        <v>41489</v>
      </c>
      <c r="D5962" s="5">
        <v>41549</v>
      </c>
      <c r="E5962" s="4" t="s">
        <v>7069</v>
      </c>
      <c r="F5962" s="4" t="s">
        <v>9485</v>
      </c>
    </row>
    <row r="5963" spans="1:6" x14ac:dyDescent="0.25">
      <c r="A5963" s="4" t="str">
        <f>CONCATENATE("3071-0000-4979","")</f>
        <v>3071-0000-4979</v>
      </c>
      <c r="B5963" s="4" t="s">
        <v>9461</v>
      </c>
      <c r="C5963" s="5">
        <v>41489</v>
      </c>
      <c r="D5963" s="5">
        <v>41549</v>
      </c>
      <c r="E5963" s="4" t="s">
        <v>7069</v>
      </c>
      <c r="F5963" s="4" t="s">
        <v>9210</v>
      </c>
    </row>
    <row r="5964" spans="1:6" x14ac:dyDescent="0.25">
      <c r="A5964" s="4" t="str">
        <f>CONCATENATE("3071-0000-4692","")</f>
        <v>3071-0000-4692</v>
      </c>
      <c r="B5964" s="4" t="s">
        <v>9314</v>
      </c>
      <c r="C5964" s="5">
        <v>41489</v>
      </c>
      <c r="D5964" s="5">
        <v>41549</v>
      </c>
      <c r="E5964" s="4" t="s">
        <v>7069</v>
      </c>
      <c r="F5964" s="4" t="s">
        <v>9210</v>
      </c>
    </row>
    <row r="5965" spans="1:6" x14ac:dyDescent="0.25">
      <c r="A5965" s="4" t="str">
        <f>CONCATENATE("3071-0000-5071","")</f>
        <v>3071-0000-5071</v>
      </c>
      <c r="B5965" s="4" t="s">
        <v>9562</v>
      </c>
      <c r="C5965" s="5">
        <v>41489</v>
      </c>
      <c r="D5965" s="5">
        <v>41549</v>
      </c>
      <c r="E5965" s="4" t="s">
        <v>7069</v>
      </c>
      <c r="F5965" s="4" t="s">
        <v>9485</v>
      </c>
    </row>
    <row r="5966" spans="1:6" x14ac:dyDescent="0.25">
      <c r="A5966" s="4" t="str">
        <f>CONCATENATE("3071-0000-5050","")</f>
        <v>3071-0000-5050</v>
      </c>
      <c r="B5966" s="4" t="s">
        <v>9387</v>
      </c>
      <c r="C5966" s="5">
        <v>41489</v>
      </c>
      <c r="D5966" s="5">
        <v>41549</v>
      </c>
      <c r="E5966" s="4" t="s">
        <v>7069</v>
      </c>
      <c r="F5966" s="4" t="s">
        <v>9210</v>
      </c>
    </row>
    <row r="5967" spans="1:6" x14ac:dyDescent="0.25">
      <c r="A5967" s="4" t="str">
        <f>CONCATENATE("3071-0000-4612","")</f>
        <v>3071-0000-4612</v>
      </c>
      <c r="B5967" s="4" t="s">
        <v>9140</v>
      </c>
      <c r="C5967" s="5">
        <v>41489</v>
      </c>
      <c r="D5967" s="5">
        <v>41549</v>
      </c>
      <c r="E5967" s="4" t="s">
        <v>1410</v>
      </c>
      <c r="F5967" s="4" t="s">
        <v>8696</v>
      </c>
    </row>
    <row r="5968" spans="1:6" x14ac:dyDescent="0.25">
      <c r="A5968" s="4" t="str">
        <f>CONCATENATE("3071-0000-4488","")</f>
        <v>3071-0000-4488</v>
      </c>
      <c r="B5968" s="4" t="s">
        <v>9097</v>
      </c>
      <c r="C5968" s="5">
        <v>41489</v>
      </c>
      <c r="D5968" s="5">
        <v>41549</v>
      </c>
      <c r="E5968" s="4" t="s">
        <v>1410</v>
      </c>
      <c r="F5968" s="4" t="s">
        <v>8696</v>
      </c>
    </row>
    <row r="5969" spans="1:6" x14ac:dyDescent="0.25">
      <c r="A5969" s="4" t="str">
        <f>CONCATENATE("3071-0000-5597","")</f>
        <v>3071-0000-5597</v>
      </c>
      <c r="B5969" s="4" t="s">
        <v>7131</v>
      </c>
      <c r="C5969" s="5">
        <v>41489</v>
      </c>
      <c r="D5969" s="5">
        <v>41549</v>
      </c>
      <c r="E5969" s="4" t="s">
        <v>5185</v>
      </c>
      <c r="F5969" s="4" t="s">
        <v>5185</v>
      </c>
    </row>
    <row r="5970" spans="1:6" x14ac:dyDescent="0.25">
      <c r="A5970" s="4" t="str">
        <f>CONCATENATE("3071-0000-0045","")</f>
        <v>3071-0000-0045</v>
      </c>
      <c r="B5970" s="4" t="s">
        <v>87</v>
      </c>
      <c r="C5970" s="5">
        <v>41489</v>
      </c>
      <c r="D5970" s="5">
        <v>41549</v>
      </c>
      <c r="E5970" s="4" t="s">
        <v>7</v>
      </c>
      <c r="F5970" s="4" t="s">
        <v>7</v>
      </c>
    </row>
    <row r="5971" spans="1:6" x14ac:dyDescent="0.25">
      <c r="A5971" s="4" t="str">
        <f>CONCATENATE("3071-0000-7830","")</f>
        <v>3071-0000-7830</v>
      </c>
      <c r="B5971" s="4" t="s">
        <v>5766</v>
      </c>
      <c r="C5971" s="5">
        <v>41489</v>
      </c>
      <c r="D5971" s="5">
        <v>41549</v>
      </c>
      <c r="E5971" s="4" t="s">
        <v>5185</v>
      </c>
      <c r="F5971" s="4" t="s">
        <v>5185</v>
      </c>
    </row>
    <row r="5972" spans="1:6" x14ac:dyDescent="0.25">
      <c r="A5972" s="4" t="str">
        <f>CONCATENATE("3071-0000-5998","")</f>
        <v>3071-0000-5998</v>
      </c>
      <c r="B5972" s="4" t="s">
        <v>7121</v>
      </c>
      <c r="C5972" s="5">
        <v>41489</v>
      </c>
      <c r="D5972" s="5">
        <v>41549</v>
      </c>
      <c r="E5972" s="4" t="s">
        <v>5185</v>
      </c>
      <c r="F5972" s="4" t="s">
        <v>5185</v>
      </c>
    </row>
    <row r="5973" spans="1:6" x14ac:dyDescent="0.25">
      <c r="A5973" s="4" t="str">
        <f>CONCATENATE("3071-0000-0759","")</f>
        <v>3071-0000-0759</v>
      </c>
      <c r="B5973" s="4" t="s">
        <v>774</v>
      </c>
      <c r="C5973" s="5">
        <v>41489</v>
      </c>
      <c r="D5973" s="5">
        <v>41549</v>
      </c>
      <c r="E5973" s="4" t="s">
        <v>7</v>
      </c>
      <c r="F5973" s="4" t="s">
        <v>7</v>
      </c>
    </row>
    <row r="5974" spans="1:6" x14ac:dyDescent="0.25">
      <c r="A5974" s="4" t="str">
        <f>CONCATENATE("3071-0000-8447","")</f>
        <v>3071-0000-8447</v>
      </c>
      <c r="B5974" s="4" t="s">
        <v>5404</v>
      </c>
      <c r="C5974" s="5">
        <v>41489</v>
      </c>
      <c r="D5974" s="5">
        <v>41549</v>
      </c>
      <c r="E5974" s="4" t="s">
        <v>1410</v>
      </c>
      <c r="F5974" s="4" t="s">
        <v>4616</v>
      </c>
    </row>
    <row r="5975" spans="1:6" x14ac:dyDescent="0.25">
      <c r="A5975" s="4" t="str">
        <f>CONCATENATE("3071-0000-2827","")</f>
        <v>3071-0000-2827</v>
      </c>
      <c r="B5975" s="4" t="s">
        <v>1078</v>
      </c>
      <c r="C5975" s="5">
        <v>41489</v>
      </c>
      <c r="D5975" s="5">
        <v>41549</v>
      </c>
      <c r="E5975" s="4" t="s">
        <v>7</v>
      </c>
      <c r="F5975" s="4" t="s">
        <v>808</v>
      </c>
    </row>
    <row r="5976" spans="1:6" x14ac:dyDescent="0.25">
      <c r="A5976" s="4" t="str">
        <f>CONCATENATE("3071-0000-3327","")</f>
        <v>3071-0000-3327</v>
      </c>
      <c r="B5976" s="4" t="s">
        <v>1077</v>
      </c>
      <c r="C5976" s="5">
        <v>41489</v>
      </c>
      <c r="D5976" s="5">
        <v>41549</v>
      </c>
      <c r="E5976" s="4" t="s">
        <v>7</v>
      </c>
      <c r="F5976" s="4" t="s">
        <v>808</v>
      </c>
    </row>
    <row r="5977" spans="1:6" x14ac:dyDescent="0.25">
      <c r="A5977" s="4" t="str">
        <f>CONCATENATE("3071-0000-6416","")</f>
        <v>3071-0000-6416</v>
      </c>
      <c r="B5977" s="4" t="s">
        <v>8121</v>
      </c>
      <c r="C5977" s="5">
        <v>41489</v>
      </c>
      <c r="D5977" s="5">
        <v>41549</v>
      </c>
      <c r="E5977" s="4" t="s">
        <v>5185</v>
      </c>
      <c r="F5977" s="4" t="s">
        <v>5185</v>
      </c>
    </row>
    <row r="5978" spans="1:6" x14ac:dyDescent="0.25">
      <c r="A5978" s="4" t="str">
        <f>CONCATENATE("3071-0000-6470","")</f>
        <v>3071-0000-6470</v>
      </c>
      <c r="B5978" s="4" t="s">
        <v>8102</v>
      </c>
      <c r="C5978" s="5">
        <v>41489</v>
      </c>
      <c r="D5978" s="5">
        <v>41549</v>
      </c>
      <c r="E5978" s="4" t="s">
        <v>5185</v>
      </c>
      <c r="F5978" s="4" t="s">
        <v>5185</v>
      </c>
    </row>
    <row r="5979" spans="1:6" x14ac:dyDescent="0.25">
      <c r="A5979" s="4" t="str">
        <f>CONCATENATE("3071-0000-6490","")</f>
        <v>3071-0000-6490</v>
      </c>
      <c r="B5979" s="4" t="s">
        <v>7756</v>
      </c>
      <c r="C5979" s="5">
        <v>41489</v>
      </c>
      <c r="D5979" s="5">
        <v>41549</v>
      </c>
      <c r="E5979" s="4" t="s">
        <v>5185</v>
      </c>
      <c r="F5979" s="4" t="s">
        <v>5185</v>
      </c>
    </row>
    <row r="5980" spans="1:6" x14ac:dyDescent="0.25">
      <c r="A5980" s="4" t="str">
        <f>CONCATENATE("3071-0000-6499","")</f>
        <v>3071-0000-6499</v>
      </c>
      <c r="B5980" s="4" t="s">
        <v>7761</v>
      </c>
      <c r="C5980" s="5">
        <v>41489</v>
      </c>
      <c r="D5980" s="5">
        <v>41549</v>
      </c>
      <c r="E5980" s="4" t="s">
        <v>5185</v>
      </c>
      <c r="F5980" s="4" t="s">
        <v>5185</v>
      </c>
    </row>
    <row r="5981" spans="1:6" x14ac:dyDescent="0.25">
      <c r="A5981" s="4" t="str">
        <f>CONCATENATE("3071-0000-7870","")</f>
        <v>3071-0000-7870</v>
      </c>
      <c r="B5981" s="4" t="s">
        <v>6200</v>
      </c>
      <c r="C5981" s="5">
        <v>41489</v>
      </c>
      <c r="D5981" s="5">
        <v>41549</v>
      </c>
      <c r="E5981" s="4" t="s">
        <v>5185</v>
      </c>
      <c r="F5981" s="4" t="s">
        <v>5185</v>
      </c>
    </row>
    <row r="5982" spans="1:6" x14ac:dyDescent="0.25">
      <c r="A5982" s="4" t="str">
        <f>CONCATENATE("3071-0000-3004","")</f>
        <v>3071-0000-3004</v>
      </c>
      <c r="B5982" s="4" t="s">
        <v>1106</v>
      </c>
      <c r="C5982" s="5">
        <v>41489</v>
      </c>
      <c r="D5982" s="5">
        <v>41549</v>
      </c>
      <c r="E5982" s="4" t="s">
        <v>7</v>
      </c>
      <c r="F5982" s="4" t="s">
        <v>808</v>
      </c>
    </row>
    <row r="5983" spans="1:6" x14ac:dyDescent="0.25">
      <c r="A5983" s="4" t="str">
        <f>CONCATENATE("3071-0000-0123","")</f>
        <v>3071-0000-0123</v>
      </c>
      <c r="B5983" s="4" t="s">
        <v>265</v>
      </c>
      <c r="C5983" s="5">
        <v>41489</v>
      </c>
      <c r="D5983" s="5">
        <v>41549</v>
      </c>
      <c r="E5983" s="4" t="s">
        <v>7</v>
      </c>
      <c r="F5983" s="4" t="s">
        <v>7</v>
      </c>
    </row>
    <row r="5984" spans="1:6" x14ac:dyDescent="0.25">
      <c r="A5984" s="4" t="str">
        <f>CONCATENATE("3071-0000-6841","")</f>
        <v>3071-0000-6841</v>
      </c>
      <c r="B5984" s="4" t="s">
        <v>8187</v>
      </c>
      <c r="C5984" s="5">
        <v>41489</v>
      </c>
      <c r="D5984" s="5">
        <v>41549</v>
      </c>
      <c r="E5984" s="4" t="s">
        <v>1410</v>
      </c>
      <c r="F5984" s="4" t="s">
        <v>7967</v>
      </c>
    </row>
    <row r="5985" spans="1:6" x14ac:dyDescent="0.25">
      <c r="A5985" s="4" t="str">
        <f>CONCATENATE("3071-0000-7685","")</f>
        <v>3071-0000-7685</v>
      </c>
      <c r="B5985" s="4" t="s">
        <v>4809</v>
      </c>
      <c r="C5985" s="5">
        <v>41489</v>
      </c>
      <c r="D5985" s="5">
        <v>41549</v>
      </c>
      <c r="E5985" s="4" t="s">
        <v>1410</v>
      </c>
      <c r="F5985" s="4" t="s">
        <v>4655</v>
      </c>
    </row>
    <row r="5986" spans="1:6" x14ac:dyDescent="0.25">
      <c r="A5986" s="4" t="str">
        <f>CONCATENATE("3071-0000-6430","")</f>
        <v>3071-0000-6430</v>
      </c>
      <c r="B5986" s="4" t="s">
        <v>8136</v>
      </c>
      <c r="C5986" s="5">
        <v>41489</v>
      </c>
      <c r="D5986" s="5">
        <v>41549</v>
      </c>
      <c r="E5986" s="4" t="s">
        <v>5185</v>
      </c>
      <c r="F5986" s="4" t="s">
        <v>5185</v>
      </c>
    </row>
    <row r="5987" spans="1:6" x14ac:dyDescent="0.25">
      <c r="A5987" s="4" t="str">
        <f>CONCATENATE("3071-0000-0120","")</f>
        <v>3071-0000-0120</v>
      </c>
      <c r="B5987" s="4" t="s">
        <v>257</v>
      </c>
      <c r="C5987" s="5">
        <v>41489</v>
      </c>
      <c r="D5987" s="5">
        <v>41549</v>
      </c>
      <c r="E5987" s="4" t="s">
        <v>7</v>
      </c>
      <c r="F5987" s="4" t="s">
        <v>7</v>
      </c>
    </row>
    <row r="5988" spans="1:6" x14ac:dyDescent="0.25">
      <c r="A5988" s="4" t="str">
        <f>CONCATENATE("3071-0000-9474","")</f>
        <v>3071-0000-9474</v>
      </c>
      <c r="B5988" s="4" t="s">
        <v>8592</v>
      </c>
      <c r="C5988" s="5">
        <v>41489</v>
      </c>
      <c r="D5988" s="5">
        <v>41549</v>
      </c>
      <c r="E5988" s="4" t="s">
        <v>1410</v>
      </c>
      <c r="F5988" s="4" t="s">
        <v>4459</v>
      </c>
    </row>
    <row r="5989" spans="1:6" x14ac:dyDescent="0.25">
      <c r="A5989" s="4" t="str">
        <f>CONCATENATE("3071-0000-7529","")</f>
        <v>3071-0000-7529</v>
      </c>
      <c r="B5989" s="4" t="s">
        <v>4307</v>
      </c>
      <c r="C5989" s="5">
        <v>41489</v>
      </c>
      <c r="D5989" s="5">
        <v>41549</v>
      </c>
      <c r="E5989" s="4" t="s">
        <v>1410</v>
      </c>
      <c r="F5989" s="4" t="s">
        <v>1410</v>
      </c>
    </row>
    <row r="5990" spans="1:6" x14ac:dyDescent="0.25">
      <c r="A5990" s="4" t="str">
        <f>CONCATENATE("3071-0000-7297","")</f>
        <v>3071-0000-7297</v>
      </c>
      <c r="B5990" s="4" t="s">
        <v>4675</v>
      </c>
      <c r="C5990" s="5">
        <v>41489</v>
      </c>
      <c r="D5990" s="5">
        <v>41549</v>
      </c>
      <c r="E5990" s="4" t="s">
        <v>1410</v>
      </c>
      <c r="F5990" s="4" t="s">
        <v>1410</v>
      </c>
    </row>
    <row r="5991" spans="1:6" x14ac:dyDescent="0.25">
      <c r="A5991" s="4" t="str">
        <f>CONCATENATE("3071-0000-0031","")</f>
        <v>3071-0000-0031</v>
      </c>
      <c r="B5991" s="4" t="s">
        <v>54</v>
      </c>
      <c r="C5991" s="5">
        <v>41489</v>
      </c>
      <c r="D5991" s="5">
        <v>41549</v>
      </c>
      <c r="E5991" s="4" t="s">
        <v>7</v>
      </c>
      <c r="F5991" s="4" t="s">
        <v>7</v>
      </c>
    </row>
    <row r="5992" spans="1:6" x14ac:dyDescent="0.25">
      <c r="A5992" s="4" t="str">
        <f>CONCATENATE("3071-0000-4146","")</f>
        <v>3071-0000-4146</v>
      </c>
      <c r="B5992" s="4" t="s">
        <v>4052</v>
      </c>
      <c r="C5992" s="5">
        <v>41489</v>
      </c>
      <c r="D5992" s="5">
        <v>41549</v>
      </c>
      <c r="E5992" s="4" t="s">
        <v>1381</v>
      </c>
      <c r="F5992" s="4" t="s">
        <v>4044</v>
      </c>
    </row>
    <row r="5993" spans="1:6" x14ac:dyDescent="0.25">
      <c r="A5993" s="4" t="str">
        <f>CONCATENATE("3071-0000-1649","")</f>
        <v>3071-0000-1649</v>
      </c>
      <c r="B5993" s="4" t="s">
        <v>2828</v>
      </c>
      <c r="C5993" s="5">
        <v>41489</v>
      </c>
      <c r="D5993" s="5">
        <v>41549</v>
      </c>
      <c r="E5993" s="4" t="s">
        <v>1381</v>
      </c>
      <c r="F5993" s="4" t="s">
        <v>2303</v>
      </c>
    </row>
    <row r="5994" spans="1:6" x14ac:dyDescent="0.25">
      <c r="A5994" s="4" t="str">
        <f>CONCATENATE("3071-0000-4155","")</f>
        <v>3071-0000-4155</v>
      </c>
      <c r="B5994" s="4" t="s">
        <v>4053</v>
      </c>
      <c r="C5994" s="5">
        <v>41489</v>
      </c>
      <c r="D5994" s="5">
        <v>41549</v>
      </c>
      <c r="E5994" s="4" t="s">
        <v>1381</v>
      </c>
      <c r="F5994" s="4" t="s">
        <v>4044</v>
      </c>
    </row>
    <row r="5995" spans="1:6" x14ac:dyDescent="0.25">
      <c r="A5995" s="4" t="str">
        <f>CONCATENATE("3071-0000-2045","")</f>
        <v>3071-0000-2045</v>
      </c>
      <c r="B5995" s="4" t="s">
        <v>3347</v>
      </c>
      <c r="C5995" s="5">
        <v>41489</v>
      </c>
      <c r="D5995" s="5">
        <v>41549</v>
      </c>
      <c r="E5995" s="4" t="s">
        <v>2944</v>
      </c>
      <c r="F5995" s="4" t="s">
        <v>2945</v>
      </c>
    </row>
    <row r="5996" spans="1:6" x14ac:dyDescent="0.25">
      <c r="A5996" s="4" t="str">
        <f>CONCATENATE("3071-0000-9051","")</f>
        <v>3071-0000-9051</v>
      </c>
      <c r="B5996" s="4" t="s">
        <v>5203</v>
      </c>
      <c r="C5996" s="5">
        <v>41489</v>
      </c>
      <c r="D5996" s="5">
        <v>41549</v>
      </c>
      <c r="E5996" s="4" t="s">
        <v>5185</v>
      </c>
      <c r="F5996" s="4" t="s">
        <v>5185</v>
      </c>
    </row>
    <row r="5997" spans="1:6" x14ac:dyDescent="0.25">
      <c r="A5997" s="4" t="str">
        <f>CONCATENATE("3071-0000-5187","")</f>
        <v>3071-0000-5187</v>
      </c>
      <c r="B5997" s="4" t="s">
        <v>9492</v>
      </c>
      <c r="C5997" s="5">
        <v>41489</v>
      </c>
      <c r="D5997" s="5">
        <v>41549</v>
      </c>
      <c r="E5997" s="4" t="s">
        <v>7069</v>
      </c>
      <c r="F5997" s="4" t="s">
        <v>9485</v>
      </c>
    </row>
    <row r="5998" spans="1:6" x14ac:dyDescent="0.25">
      <c r="A5998" s="4" t="str">
        <f>CONCATENATE("3071-0000-8117","")</f>
        <v>3071-0000-8117</v>
      </c>
      <c r="B5998" s="4" t="s">
        <v>6005</v>
      </c>
      <c r="C5998" s="5">
        <v>41489</v>
      </c>
      <c r="D5998" s="5">
        <v>41549</v>
      </c>
      <c r="E5998" s="4" t="s">
        <v>5185</v>
      </c>
      <c r="F5998" s="4" t="s">
        <v>5185</v>
      </c>
    </row>
    <row r="5999" spans="1:6" x14ac:dyDescent="0.25">
      <c r="A5999" s="4" t="str">
        <f>CONCATENATE("3071-0000-0703","")</f>
        <v>3071-0000-0703</v>
      </c>
      <c r="B5999" s="4" t="s">
        <v>486</v>
      </c>
      <c r="C5999" s="5">
        <v>41489</v>
      </c>
      <c r="D5999" s="5">
        <v>41549</v>
      </c>
      <c r="E5999" s="4" t="s">
        <v>7</v>
      </c>
      <c r="F5999" s="4" t="s">
        <v>7</v>
      </c>
    </row>
    <row r="6000" spans="1:6" x14ac:dyDescent="0.25">
      <c r="A6000" s="4" t="str">
        <f>CONCATENATE("3071-0000-7802","")</f>
        <v>3071-0000-7802</v>
      </c>
      <c r="B6000" s="4" t="s">
        <v>5218</v>
      </c>
      <c r="C6000" s="5">
        <v>41489</v>
      </c>
      <c r="D6000" s="5">
        <v>41549</v>
      </c>
      <c r="E6000" s="4" t="s">
        <v>5185</v>
      </c>
      <c r="F6000" s="4" t="s">
        <v>5185</v>
      </c>
    </row>
    <row r="6001" spans="1:6" x14ac:dyDescent="0.25">
      <c r="A6001" s="4" t="str">
        <f>CONCATENATE("3071-0000-9300","")</f>
        <v>3071-0000-9300</v>
      </c>
      <c r="B6001" s="4" t="s">
        <v>8359</v>
      </c>
      <c r="C6001" s="5">
        <v>41489</v>
      </c>
      <c r="D6001" s="5">
        <v>41549</v>
      </c>
      <c r="E6001" s="4" t="s">
        <v>5185</v>
      </c>
      <c r="F6001" s="4" t="s">
        <v>5185</v>
      </c>
    </row>
    <row r="6002" spans="1:6" x14ac:dyDescent="0.25">
      <c r="A6002" s="4" t="str">
        <f>CONCATENATE("3071-0000-8839","")</f>
        <v>3071-0000-8839</v>
      </c>
      <c r="B6002" s="4" t="s">
        <v>5463</v>
      </c>
      <c r="C6002" s="5">
        <v>41489</v>
      </c>
      <c r="D6002" s="5">
        <v>41549</v>
      </c>
      <c r="E6002" s="4" t="s">
        <v>5185</v>
      </c>
      <c r="F6002" s="4" t="s">
        <v>5250</v>
      </c>
    </row>
    <row r="6003" spans="1:6" x14ac:dyDescent="0.25">
      <c r="A6003" s="4" t="str">
        <f>CONCATENATE("3071-0000-8361","")</f>
        <v>3071-0000-8361</v>
      </c>
      <c r="B6003" s="4" t="s">
        <v>5192</v>
      </c>
      <c r="C6003" s="5">
        <v>41489</v>
      </c>
      <c r="D6003" s="5">
        <v>41549</v>
      </c>
      <c r="E6003" s="4" t="s">
        <v>5185</v>
      </c>
      <c r="F6003" s="4" t="s">
        <v>5185</v>
      </c>
    </row>
    <row r="6004" spans="1:6" x14ac:dyDescent="0.25">
      <c r="A6004" s="4" t="str">
        <f>CONCATENATE("3071-0000-7125","")</f>
        <v>3071-0000-7125</v>
      </c>
      <c r="B6004" s="4" t="s">
        <v>4788</v>
      </c>
      <c r="C6004" s="5">
        <v>41489</v>
      </c>
      <c r="D6004" s="5">
        <v>41549</v>
      </c>
      <c r="E6004" s="4" t="s">
        <v>1410</v>
      </c>
      <c r="F6004" s="4" t="s">
        <v>1410</v>
      </c>
    </row>
    <row r="6005" spans="1:6" x14ac:dyDescent="0.25">
      <c r="A6005" s="4" t="str">
        <f>CONCATENATE("3071-0000-0263","")</f>
        <v>3071-0000-0263</v>
      </c>
      <c r="B6005" s="4" t="s">
        <v>607</v>
      </c>
      <c r="C6005" s="5">
        <v>41489</v>
      </c>
      <c r="D6005" s="5">
        <v>41549</v>
      </c>
      <c r="E6005" s="4" t="s">
        <v>7</v>
      </c>
      <c r="F6005" s="4" t="s">
        <v>7</v>
      </c>
    </row>
    <row r="6006" spans="1:6" x14ac:dyDescent="0.25">
      <c r="A6006" s="4" t="str">
        <f>CONCATENATE("3071-0000-3527","")</f>
        <v>3071-0000-3527</v>
      </c>
      <c r="B6006" s="4" t="s">
        <v>1852</v>
      </c>
      <c r="C6006" s="5">
        <v>41489</v>
      </c>
      <c r="D6006" s="5">
        <v>41549</v>
      </c>
      <c r="E6006" s="4" t="s">
        <v>1410</v>
      </c>
      <c r="F6006" s="4" t="s">
        <v>1411</v>
      </c>
    </row>
    <row r="6007" spans="1:6" x14ac:dyDescent="0.25">
      <c r="A6007" s="4" t="str">
        <f>CONCATENATE("3071-0000-3521","")</f>
        <v>3071-0000-3521</v>
      </c>
      <c r="B6007" s="4" t="s">
        <v>1842</v>
      </c>
      <c r="C6007" s="5">
        <v>41489</v>
      </c>
      <c r="D6007" s="5">
        <v>41549</v>
      </c>
      <c r="E6007" s="4" t="s">
        <v>1410</v>
      </c>
      <c r="F6007" s="4" t="s">
        <v>1411</v>
      </c>
    </row>
    <row r="6008" spans="1:6" x14ac:dyDescent="0.25">
      <c r="A6008" s="4" t="str">
        <f>CONCATENATE("3071-0000-7083","")</f>
        <v>3071-0000-7083</v>
      </c>
      <c r="B6008" s="4" t="s">
        <v>4744</v>
      </c>
      <c r="C6008" s="5">
        <v>41489</v>
      </c>
      <c r="D6008" s="5">
        <v>41549</v>
      </c>
      <c r="E6008" s="4" t="s">
        <v>1410</v>
      </c>
      <c r="F6008" s="4" t="s">
        <v>1410</v>
      </c>
    </row>
    <row r="6009" spans="1:6" x14ac:dyDescent="0.25">
      <c r="A6009" s="4" t="str">
        <f>CONCATENATE("3071-0000-2315","")</f>
        <v>3071-0000-2315</v>
      </c>
      <c r="B6009" s="4" t="s">
        <v>3742</v>
      </c>
      <c r="C6009" s="5">
        <v>41489</v>
      </c>
      <c r="D6009" s="5">
        <v>41549</v>
      </c>
      <c r="E6009" s="4" t="s">
        <v>2944</v>
      </c>
      <c r="F6009" s="4" t="s">
        <v>2945</v>
      </c>
    </row>
    <row r="6010" spans="1:6" x14ac:dyDescent="0.25">
      <c r="A6010" s="4" t="str">
        <f>CONCATENATE("3071-0000-2283","")</f>
        <v>3071-0000-2283</v>
      </c>
      <c r="B6010" s="4" t="s">
        <v>3731</v>
      </c>
      <c r="C6010" s="5">
        <v>41489</v>
      </c>
      <c r="D6010" s="5">
        <v>41549</v>
      </c>
      <c r="E6010" s="4" t="s">
        <v>2944</v>
      </c>
      <c r="F6010" s="4" t="s">
        <v>2945</v>
      </c>
    </row>
    <row r="6011" spans="1:6" x14ac:dyDescent="0.25">
      <c r="A6011" s="4" t="str">
        <f>CONCATENATE("3071-0000-7831","")</f>
        <v>3071-0000-7831</v>
      </c>
      <c r="B6011" s="4" t="s">
        <v>5767</v>
      </c>
      <c r="C6011" s="5">
        <v>41489</v>
      </c>
      <c r="D6011" s="5">
        <v>41549</v>
      </c>
      <c r="E6011" s="4" t="s">
        <v>5185</v>
      </c>
      <c r="F6011" s="4" t="s">
        <v>5185</v>
      </c>
    </row>
    <row r="6012" spans="1:6" x14ac:dyDescent="0.25">
      <c r="A6012" s="4" t="str">
        <f>CONCATENATE("3071-0000-4630","")</f>
        <v>3071-0000-4630</v>
      </c>
      <c r="B6012" s="4" t="s">
        <v>9058</v>
      </c>
      <c r="C6012" s="5">
        <v>41489</v>
      </c>
      <c r="D6012" s="5">
        <v>41549</v>
      </c>
      <c r="E6012" s="4" t="s">
        <v>1410</v>
      </c>
      <c r="F6012" s="4" t="s">
        <v>8696</v>
      </c>
    </row>
    <row r="6013" spans="1:6" x14ac:dyDescent="0.25">
      <c r="A6013" s="4" t="str">
        <f>CONCATENATE("3071-0000-9242","")</f>
        <v>3071-0000-9242</v>
      </c>
      <c r="B6013" s="4" t="s">
        <v>8349</v>
      </c>
      <c r="C6013" s="5">
        <v>41489</v>
      </c>
      <c r="D6013" s="5">
        <v>41549</v>
      </c>
      <c r="E6013" s="4" t="s">
        <v>5185</v>
      </c>
      <c r="F6013" s="4" t="s">
        <v>5185</v>
      </c>
    </row>
    <row r="6014" spans="1:6" x14ac:dyDescent="0.25">
      <c r="A6014" s="4" t="str">
        <f>CONCATENATE("3071-0000-6166","")</f>
        <v>3071-0000-6166</v>
      </c>
      <c r="B6014" s="4" t="s">
        <v>7681</v>
      </c>
      <c r="C6014" s="5">
        <v>41489</v>
      </c>
      <c r="D6014" s="5">
        <v>41549</v>
      </c>
      <c r="E6014" s="4" t="s">
        <v>1410</v>
      </c>
      <c r="F6014" s="4" t="s">
        <v>1410</v>
      </c>
    </row>
    <row r="6015" spans="1:6" x14ac:dyDescent="0.25">
      <c r="A6015" s="4" t="str">
        <f>CONCATENATE("3071-0000-5578","")</f>
        <v>3071-0000-5578</v>
      </c>
      <c r="B6015" s="4" t="s">
        <v>7488</v>
      </c>
      <c r="C6015" s="5">
        <v>41489</v>
      </c>
      <c r="D6015" s="5">
        <v>41549</v>
      </c>
      <c r="E6015" s="4" t="s">
        <v>5185</v>
      </c>
      <c r="F6015" s="4" t="s">
        <v>5185</v>
      </c>
    </row>
    <row r="6016" spans="1:6" x14ac:dyDescent="0.25">
      <c r="A6016" s="4" t="str">
        <f>CONCATENATE("3071-0000-6175","")</f>
        <v>3071-0000-6175</v>
      </c>
      <c r="B6016" s="4" t="s">
        <v>7690</v>
      </c>
      <c r="C6016" s="5">
        <v>41489</v>
      </c>
      <c r="D6016" s="5">
        <v>41549</v>
      </c>
      <c r="E6016" s="4" t="s">
        <v>1410</v>
      </c>
      <c r="F6016" s="4" t="s">
        <v>1410</v>
      </c>
    </row>
    <row r="6017" spans="1:6" x14ac:dyDescent="0.25">
      <c r="A6017" s="4" t="str">
        <f>CONCATENATE("3071-0000-3338","")</f>
        <v>3071-0000-3338</v>
      </c>
      <c r="B6017" s="4" t="s">
        <v>1416</v>
      </c>
      <c r="C6017" s="5">
        <v>41489</v>
      </c>
      <c r="D6017" s="5">
        <v>41549</v>
      </c>
      <c r="E6017" s="4" t="s">
        <v>1410</v>
      </c>
      <c r="F6017" s="4" t="s">
        <v>1411</v>
      </c>
    </row>
    <row r="6018" spans="1:6" x14ac:dyDescent="0.25">
      <c r="A6018" s="4" t="str">
        <f>CONCATENATE("3071-0000-5579","")</f>
        <v>3071-0000-5579</v>
      </c>
      <c r="B6018" s="4" t="s">
        <v>7494</v>
      </c>
      <c r="C6018" s="5">
        <v>41489</v>
      </c>
      <c r="D6018" s="5">
        <v>41549</v>
      </c>
      <c r="E6018" s="4" t="s">
        <v>5185</v>
      </c>
      <c r="F6018" s="4" t="s">
        <v>5185</v>
      </c>
    </row>
    <row r="6019" spans="1:6" x14ac:dyDescent="0.25">
      <c r="A6019" s="4" t="str">
        <f>CONCATENATE("3071-0000-4506","")</f>
        <v>3071-0000-4506</v>
      </c>
      <c r="B6019" s="4" t="s">
        <v>9506</v>
      </c>
      <c r="C6019" s="5">
        <v>41489</v>
      </c>
      <c r="D6019" s="5">
        <v>41549</v>
      </c>
      <c r="E6019" s="4" t="s">
        <v>1410</v>
      </c>
      <c r="F6019" s="4" t="s">
        <v>8696</v>
      </c>
    </row>
    <row r="6020" spans="1:6" x14ac:dyDescent="0.25">
      <c r="A6020" s="4" t="str">
        <f>CONCATENATE("3071-0000-6630","")</f>
        <v>3071-0000-6630</v>
      </c>
      <c r="B6020" s="4" t="s">
        <v>8225</v>
      </c>
      <c r="C6020" s="5">
        <v>41489</v>
      </c>
      <c r="D6020" s="5">
        <v>41549</v>
      </c>
      <c r="E6020" s="4" t="s">
        <v>5185</v>
      </c>
      <c r="F6020" s="4" t="s">
        <v>5185</v>
      </c>
    </row>
    <row r="6021" spans="1:6" x14ac:dyDescent="0.25">
      <c r="A6021" s="4" t="str">
        <f>CONCATENATE("3071-0000-6594","")</f>
        <v>3071-0000-6594</v>
      </c>
      <c r="B6021" s="4" t="s">
        <v>8008</v>
      </c>
      <c r="C6021" s="5">
        <v>41489</v>
      </c>
      <c r="D6021" s="5">
        <v>41549</v>
      </c>
      <c r="E6021" s="4" t="s">
        <v>5185</v>
      </c>
      <c r="F6021" s="4" t="s">
        <v>5185</v>
      </c>
    </row>
    <row r="6022" spans="1:6" x14ac:dyDescent="0.25">
      <c r="A6022" s="4" t="str">
        <f>CONCATENATE("3071-0000-9219","")</f>
        <v>3071-0000-9219</v>
      </c>
      <c r="B6022" s="4" t="s">
        <v>8327</v>
      </c>
      <c r="C6022" s="5">
        <v>41489</v>
      </c>
      <c r="D6022" s="5">
        <v>41549</v>
      </c>
      <c r="E6022" s="4" t="s">
        <v>5185</v>
      </c>
      <c r="F6022" s="4" t="s">
        <v>5185</v>
      </c>
    </row>
    <row r="6023" spans="1:6" x14ac:dyDescent="0.25">
      <c r="A6023" s="4" t="str">
        <f>CONCATENATE("3071-0000-8421","")</f>
        <v>3071-0000-8421</v>
      </c>
      <c r="B6023" s="4" t="s">
        <v>6251</v>
      </c>
      <c r="C6023" s="5">
        <v>41489</v>
      </c>
      <c r="D6023" s="5">
        <v>41549</v>
      </c>
      <c r="E6023" s="4" t="s">
        <v>5185</v>
      </c>
      <c r="F6023" s="4" t="s">
        <v>5185</v>
      </c>
    </row>
    <row r="6024" spans="1:6" x14ac:dyDescent="0.25">
      <c r="A6024" s="4" t="str">
        <f>CONCATENATE("3071-0000-3358","")</f>
        <v>3071-0000-3358</v>
      </c>
      <c r="B6024" s="4" t="s">
        <v>1490</v>
      </c>
      <c r="C6024" s="5">
        <v>41489</v>
      </c>
      <c r="D6024" s="5">
        <v>41549</v>
      </c>
      <c r="E6024" s="4" t="s">
        <v>1410</v>
      </c>
      <c r="F6024" s="4" t="s">
        <v>1411</v>
      </c>
    </row>
    <row r="6025" spans="1:6" x14ac:dyDescent="0.25">
      <c r="A6025" s="4" t="str">
        <f>CONCATENATE("3071-0000-4485","")</f>
        <v>3071-0000-4485</v>
      </c>
      <c r="B6025" s="4" t="s">
        <v>9382</v>
      </c>
      <c r="C6025" s="5">
        <v>41489</v>
      </c>
      <c r="D6025" s="5">
        <v>41549</v>
      </c>
      <c r="E6025" s="4" t="s">
        <v>1410</v>
      </c>
      <c r="F6025" s="4" t="s">
        <v>8696</v>
      </c>
    </row>
    <row r="6026" spans="1:6" x14ac:dyDescent="0.25">
      <c r="A6026" s="4" t="str">
        <f>CONCATENATE("3071-0000-9216","")</f>
        <v>3071-0000-9216</v>
      </c>
      <c r="B6026" s="4" t="s">
        <v>8288</v>
      </c>
      <c r="C6026" s="5">
        <v>41489</v>
      </c>
      <c r="D6026" s="5">
        <v>41549</v>
      </c>
      <c r="E6026" s="4" t="s">
        <v>5185</v>
      </c>
      <c r="F6026" s="4" t="s">
        <v>5185</v>
      </c>
    </row>
    <row r="6027" spans="1:6" x14ac:dyDescent="0.25">
      <c r="A6027" s="4" t="str">
        <f>CONCATENATE("3071-0000-9210","")</f>
        <v>3071-0000-9210</v>
      </c>
      <c r="B6027" s="4" t="s">
        <v>8342</v>
      </c>
      <c r="C6027" s="5">
        <v>41489</v>
      </c>
      <c r="D6027" s="5">
        <v>41549</v>
      </c>
      <c r="E6027" s="4" t="s">
        <v>5185</v>
      </c>
      <c r="F6027" s="4" t="s">
        <v>5185</v>
      </c>
    </row>
    <row r="6028" spans="1:6" x14ac:dyDescent="0.25">
      <c r="A6028" s="4" t="str">
        <f>CONCATENATE("3071-0000-6468","")</f>
        <v>3071-0000-6468</v>
      </c>
      <c r="B6028" s="4" t="s">
        <v>8118</v>
      </c>
      <c r="C6028" s="5">
        <v>41489</v>
      </c>
      <c r="D6028" s="5">
        <v>41549</v>
      </c>
      <c r="E6028" s="4" t="s">
        <v>5185</v>
      </c>
      <c r="F6028" s="4" t="s">
        <v>5185</v>
      </c>
    </row>
    <row r="6029" spans="1:6" x14ac:dyDescent="0.25">
      <c r="A6029" s="4" t="str">
        <f>CONCATENATE("3071-0000-6442","")</f>
        <v>3071-0000-6442</v>
      </c>
      <c r="B6029" s="4" t="s">
        <v>8080</v>
      </c>
      <c r="C6029" s="5">
        <v>41489</v>
      </c>
      <c r="D6029" s="5">
        <v>41549</v>
      </c>
      <c r="E6029" s="4" t="s">
        <v>5185</v>
      </c>
      <c r="F6029" s="4" t="s">
        <v>5185</v>
      </c>
    </row>
    <row r="6030" spans="1:6" x14ac:dyDescent="0.25">
      <c r="A6030" s="4" t="str">
        <f>CONCATENATE("3071-0000-9584","")</f>
        <v>3071-0000-9584</v>
      </c>
      <c r="B6030" s="4" t="s">
        <v>8372</v>
      </c>
      <c r="C6030" s="5">
        <v>41489</v>
      </c>
      <c r="D6030" s="5">
        <v>41549</v>
      </c>
      <c r="E6030" s="4" t="s">
        <v>1410</v>
      </c>
      <c r="F6030" s="4" t="s">
        <v>7967</v>
      </c>
    </row>
    <row r="6031" spans="1:6" x14ac:dyDescent="0.25">
      <c r="A6031" s="4" t="str">
        <f>CONCATENATE("3071-0000-3398","")</f>
        <v>3071-0000-3398</v>
      </c>
      <c r="B6031" s="4" t="s">
        <v>1553</v>
      </c>
      <c r="C6031" s="5">
        <v>41489</v>
      </c>
      <c r="D6031" s="5">
        <v>41549</v>
      </c>
      <c r="E6031" s="4" t="s">
        <v>1410</v>
      </c>
      <c r="F6031" s="4" t="s">
        <v>1411</v>
      </c>
    </row>
    <row r="6032" spans="1:6" x14ac:dyDescent="0.25">
      <c r="A6032" s="4" t="str">
        <f>CONCATENATE("3071-0000-5235","")</f>
        <v>3071-0000-5235</v>
      </c>
      <c r="B6032" s="4" t="s">
        <v>6678</v>
      </c>
      <c r="C6032" s="5">
        <v>41489</v>
      </c>
      <c r="D6032" s="5">
        <v>41549</v>
      </c>
      <c r="E6032" s="4" t="s">
        <v>5185</v>
      </c>
      <c r="F6032" s="4" t="s">
        <v>5185</v>
      </c>
    </row>
    <row r="6033" spans="1:6" x14ac:dyDescent="0.25">
      <c r="A6033" s="4" t="str">
        <f>CONCATENATE("3071-0000-6463","")</f>
        <v>3071-0000-6463</v>
      </c>
      <c r="B6033" s="4" t="s">
        <v>8104</v>
      </c>
      <c r="C6033" s="5">
        <v>41489</v>
      </c>
      <c r="D6033" s="5">
        <v>41549</v>
      </c>
      <c r="E6033" s="4" t="s">
        <v>5185</v>
      </c>
      <c r="F6033" s="4" t="s">
        <v>5185</v>
      </c>
    </row>
    <row r="6034" spans="1:6" x14ac:dyDescent="0.25">
      <c r="A6034" s="4" t="str">
        <f>CONCATENATE("3071-0000-5288","")</f>
        <v>3071-0000-5288</v>
      </c>
      <c r="B6034" s="4" t="s">
        <v>6791</v>
      </c>
      <c r="C6034" s="5">
        <v>41489</v>
      </c>
      <c r="D6034" s="5">
        <v>41549</v>
      </c>
      <c r="E6034" s="4" t="s">
        <v>5185</v>
      </c>
      <c r="F6034" s="4" t="s">
        <v>5185</v>
      </c>
    </row>
    <row r="6035" spans="1:6" x14ac:dyDescent="0.25">
      <c r="A6035" s="4" t="str">
        <f>CONCATENATE("3071-0000-9154","")</f>
        <v>3071-0000-9154</v>
      </c>
      <c r="B6035" s="4" t="s">
        <v>5401</v>
      </c>
      <c r="C6035" s="5">
        <v>41489</v>
      </c>
      <c r="D6035" s="5">
        <v>41549</v>
      </c>
      <c r="E6035" s="4" t="s">
        <v>1410</v>
      </c>
      <c r="F6035" s="4" t="s">
        <v>4616</v>
      </c>
    </row>
    <row r="6036" spans="1:6" x14ac:dyDescent="0.25">
      <c r="A6036" s="4" t="str">
        <f>CONCATENATE("3071-0000-1317","")</f>
        <v>3071-0000-1317</v>
      </c>
      <c r="B6036" s="4" t="s">
        <v>2439</v>
      </c>
      <c r="C6036" s="5">
        <v>41489</v>
      </c>
      <c r="D6036" s="5">
        <v>41549</v>
      </c>
      <c r="E6036" s="4" t="s">
        <v>1381</v>
      </c>
      <c r="F6036" s="4" t="s">
        <v>2303</v>
      </c>
    </row>
    <row r="6037" spans="1:6" x14ac:dyDescent="0.25">
      <c r="A6037" s="4" t="str">
        <f>CONCATENATE("3071-0000-3748","")</f>
        <v>3071-0000-3748</v>
      </c>
      <c r="B6037" s="4" t="s">
        <v>1461</v>
      </c>
      <c r="C6037" s="5">
        <v>41489</v>
      </c>
      <c r="D6037" s="5">
        <v>41549</v>
      </c>
      <c r="E6037" s="4" t="s">
        <v>1410</v>
      </c>
      <c r="F6037" s="4" t="s">
        <v>1411</v>
      </c>
    </row>
    <row r="6038" spans="1:6" x14ac:dyDescent="0.25">
      <c r="A6038" s="4" t="str">
        <f>CONCATENATE("3071-0000-0524","")</f>
        <v>3071-0000-0524</v>
      </c>
      <c r="B6038" s="4" t="s">
        <v>756</v>
      </c>
      <c r="C6038" s="5">
        <v>41489</v>
      </c>
      <c r="D6038" s="5">
        <v>41549</v>
      </c>
      <c r="E6038" s="4" t="s">
        <v>7</v>
      </c>
      <c r="F6038" s="4" t="s">
        <v>273</v>
      </c>
    </row>
    <row r="6039" spans="1:6" x14ac:dyDescent="0.25">
      <c r="A6039" s="4" t="str">
        <f>CONCATENATE("3071-0000-5520","")</f>
        <v>3071-0000-5520</v>
      </c>
      <c r="B6039" s="4" t="s">
        <v>6789</v>
      </c>
      <c r="C6039" s="5">
        <v>41489</v>
      </c>
      <c r="D6039" s="5">
        <v>41549</v>
      </c>
      <c r="E6039" s="4" t="s">
        <v>1410</v>
      </c>
      <c r="F6039" s="4" t="s">
        <v>6635</v>
      </c>
    </row>
    <row r="6040" spans="1:6" x14ac:dyDescent="0.25">
      <c r="A6040" s="4" t="str">
        <f>CONCATENATE("3071-0000-7746","")</f>
        <v>3071-0000-7746</v>
      </c>
      <c r="B6040" s="4" t="s">
        <v>5055</v>
      </c>
      <c r="C6040" s="5">
        <v>41489</v>
      </c>
      <c r="D6040" s="5">
        <v>41549</v>
      </c>
      <c r="E6040" s="4" t="s">
        <v>1410</v>
      </c>
      <c r="F6040" s="4" t="s">
        <v>1410</v>
      </c>
    </row>
    <row r="6041" spans="1:6" x14ac:dyDescent="0.25">
      <c r="A6041" s="4" t="str">
        <f>CONCATENATE("3071-0000-7237","")</f>
        <v>3071-0000-7237</v>
      </c>
      <c r="B6041" s="4" t="s">
        <v>4928</v>
      </c>
      <c r="C6041" s="5">
        <v>41489</v>
      </c>
      <c r="D6041" s="5">
        <v>41549</v>
      </c>
      <c r="E6041" s="4" t="s">
        <v>1410</v>
      </c>
      <c r="F6041" s="4" t="s">
        <v>1410</v>
      </c>
    </row>
    <row r="6042" spans="1:6" x14ac:dyDescent="0.25">
      <c r="A6042" s="4" t="str">
        <f>CONCATENATE("3071-0000-3508","")</f>
        <v>3071-0000-3508</v>
      </c>
      <c r="B6042" s="4" t="s">
        <v>1828</v>
      </c>
      <c r="C6042" s="5">
        <v>41489</v>
      </c>
      <c r="D6042" s="5">
        <v>41549</v>
      </c>
      <c r="E6042" s="4" t="s">
        <v>1410</v>
      </c>
      <c r="F6042" s="4" t="s">
        <v>1411</v>
      </c>
    </row>
    <row r="6043" spans="1:6" x14ac:dyDescent="0.25">
      <c r="A6043" s="4" t="str">
        <f>CONCATENATE("3071-0000-5220","")</f>
        <v>3071-0000-5220</v>
      </c>
      <c r="B6043" s="4" t="s">
        <v>6659</v>
      </c>
      <c r="C6043" s="5">
        <v>41489</v>
      </c>
      <c r="D6043" s="5">
        <v>41549</v>
      </c>
      <c r="E6043" s="4" t="s">
        <v>5185</v>
      </c>
      <c r="F6043" s="4" t="s">
        <v>5185</v>
      </c>
    </row>
    <row r="6044" spans="1:6" x14ac:dyDescent="0.25">
      <c r="A6044" s="4" t="str">
        <f>CONCATENATE("3071-0000-8380","")</f>
        <v>3071-0000-8380</v>
      </c>
      <c r="B6044" s="4" t="s">
        <v>5420</v>
      </c>
      <c r="C6044" s="5">
        <v>41489</v>
      </c>
      <c r="D6044" s="5">
        <v>41549</v>
      </c>
      <c r="E6044" s="4" t="s">
        <v>5185</v>
      </c>
      <c r="F6044" s="4" t="s">
        <v>5185</v>
      </c>
    </row>
    <row r="6045" spans="1:6" x14ac:dyDescent="0.25">
      <c r="A6045" s="4" t="str">
        <f>CONCATENATE("3071-0000-7165","")</f>
        <v>3071-0000-7165</v>
      </c>
      <c r="B6045" s="4" t="s">
        <v>5113</v>
      </c>
      <c r="C6045" s="5">
        <v>41489</v>
      </c>
      <c r="D6045" s="5">
        <v>41549</v>
      </c>
      <c r="E6045" s="4" t="s">
        <v>1410</v>
      </c>
      <c r="F6045" s="4" t="s">
        <v>4616</v>
      </c>
    </row>
    <row r="6046" spans="1:6" x14ac:dyDescent="0.25">
      <c r="A6046" s="4" t="str">
        <f>CONCATENATE("3071-0000-7033","")</f>
        <v>3071-0000-7033</v>
      </c>
      <c r="B6046" s="4" t="s">
        <v>4869</v>
      </c>
      <c r="C6046" s="5">
        <v>41489</v>
      </c>
      <c r="D6046" s="5">
        <v>41549</v>
      </c>
      <c r="E6046" s="4" t="s">
        <v>1410</v>
      </c>
      <c r="F6046" s="4" t="s">
        <v>1410</v>
      </c>
    </row>
    <row r="6047" spans="1:6" x14ac:dyDescent="0.25">
      <c r="A6047" s="4" t="str">
        <f>CONCATENATE("3071-0000-4122","")</f>
        <v>3071-0000-4122</v>
      </c>
      <c r="B6047" s="4" t="s">
        <v>4245</v>
      </c>
      <c r="C6047" s="5">
        <v>41489</v>
      </c>
      <c r="D6047" s="5">
        <v>41549</v>
      </c>
      <c r="E6047" s="4" t="s">
        <v>7</v>
      </c>
      <c r="F6047" s="4" t="s">
        <v>1419</v>
      </c>
    </row>
    <row r="6048" spans="1:6" x14ac:dyDescent="0.25">
      <c r="A6048" s="4" t="str">
        <f>CONCATENATE("3071-0000-9581","")</f>
        <v>3071-0000-9581</v>
      </c>
      <c r="B6048" s="4" t="s">
        <v>8444</v>
      </c>
      <c r="C6048" s="5">
        <v>41489</v>
      </c>
      <c r="D6048" s="5">
        <v>41549</v>
      </c>
      <c r="E6048" s="4" t="s">
        <v>1410</v>
      </c>
      <c r="F6048" s="4" t="s">
        <v>4459</v>
      </c>
    </row>
    <row r="6049" spans="1:6" x14ac:dyDescent="0.25">
      <c r="A6049" s="4" t="str">
        <f>CONCATENATE("3071-0000-3842","")</f>
        <v>3071-0000-3842</v>
      </c>
      <c r="B6049" s="4" t="s">
        <v>3907</v>
      </c>
      <c r="C6049" s="5">
        <v>41489</v>
      </c>
      <c r="D6049" s="5">
        <v>41549</v>
      </c>
      <c r="E6049" s="4" t="s">
        <v>2944</v>
      </c>
      <c r="F6049" s="4" t="s">
        <v>3513</v>
      </c>
    </row>
    <row r="6050" spans="1:6" x14ac:dyDescent="0.25">
      <c r="A6050" s="4" t="str">
        <f>CONCATENATE("3071-0000-1731","")</f>
        <v>3071-0000-1731</v>
      </c>
      <c r="B6050" s="4" t="s">
        <v>2611</v>
      </c>
      <c r="C6050" s="5">
        <v>41489</v>
      </c>
      <c r="D6050" s="5">
        <v>41549</v>
      </c>
      <c r="E6050" s="4" t="s">
        <v>1381</v>
      </c>
      <c r="F6050" s="4" t="s">
        <v>2303</v>
      </c>
    </row>
    <row r="6051" spans="1:6" x14ac:dyDescent="0.25">
      <c r="A6051" s="4" t="str">
        <f>CONCATENATE("3071-0000-5564","")</f>
        <v>3071-0000-5564</v>
      </c>
      <c r="B6051" s="4" t="s">
        <v>6933</v>
      </c>
      <c r="C6051" s="5">
        <v>41489</v>
      </c>
      <c r="D6051" s="5">
        <v>41549</v>
      </c>
      <c r="E6051" s="4" t="s">
        <v>5185</v>
      </c>
      <c r="F6051" s="4" t="s">
        <v>5185</v>
      </c>
    </row>
    <row r="6052" spans="1:6" x14ac:dyDescent="0.25">
      <c r="A6052" s="4" t="str">
        <f>CONCATENATE("3071-0000-8359","")</f>
        <v>3071-0000-8359</v>
      </c>
      <c r="B6052" s="4" t="s">
        <v>5414</v>
      </c>
      <c r="C6052" s="5">
        <v>41489</v>
      </c>
      <c r="D6052" s="5">
        <v>41549</v>
      </c>
      <c r="E6052" s="4" t="s">
        <v>5185</v>
      </c>
      <c r="F6052" s="4" t="s">
        <v>5185</v>
      </c>
    </row>
    <row r="6053" spans="1:6" x14ac:dyDescent="0.25">
      <c r="A6053" s="4" t="str">
        <f>CONCATENATE("3071-0000-1799","")</f>
        <v>3071-0000-1799</v>
      </c>
      <c r="B6053" s="4" t="s">
        <v>2535</v>
      </c>
      <c r="C6053" s="5">
        <v>41489</v>
      </c>
      <c r="D6053" s="5">
        <v>41549</v>
      </c>
      <c r="E6053" s="4" t="s">
        <v>1381</v>
      </c>
      <c r="F6053" s="4" t="s">
        <v>2303</v>
      </c>
    </row>
    <row r="6054" spans="1:6" x14ac:dyDescent="0.25">
      <c r="A6054" s="4" t="str">
        <f>CONCATENATE("3071-0000-8082","")</f>
        <v>3071-0000-8082</v>
      </c>
      <c r="B6054" s="4" t="s">
        <v>5917</v>
      </c>
      <c r="C6054" s="5">
        <v>41489</v>
      </c>
      <c r="D6054" s="5">
        <v>41549</v>
      </c>
      <c r="E6054" s="4" t="s">
        <v>5185</v>
      </c>
      <c r="F6054" s="4" t="s">
        <v>5185</v>
      </c>
    </row>
    <row r="6055" spans="1:6" x14ac:dyDescent="0.25">
      <c r="A6055" s="4" t="str">
        <f>CONCATENATE("3071-0000-5274","")</f>
        <v>3071-0000-5274</v>
      </c>
      <c r="B6055" s="4" t="s">
        <v>6780</v>
      </c>
      <c r="C6055" s="5">
        <v>41489</v>
      </c>
      <c r="D6055" s="5">
        <v>41549</v>
      </c>
      <c r="E6055" s="4" t="s">
        <v>5185</v>
      </c>
      <c r="F6055" s="4" t="s">
        <v>5185</v>
      </c>
    </row>
    <row r="6056" spans="1:6" x14ac:dyDescent="0.25">
      <c r="A6056" s="4" t="str">
        <f>CONCATENATE("3071-0000-5329","")</f>
        <v>3071-0000-5329</v>
      </c>
      <c r="B6056" s="4" t="s">
        <v>6771</v>
      </c>
      <c r="C6056" s="5">
        <v>41489</v>
      </c>
      <c r="D6056" s="5">
        <v>41549</v>
      </c>
      <c r="E6056" s="4" t="s">
        <v>5185</v>
      </c>
      <c r="F6056" s="4" t="s">
        <v>5185</v>
      </c>
    </row>
    <row r="6057" spans="1:6" x14ac:dyDescent="0.25">
      <c r="A6057" s="4" t="str">
        <f>CONCATENATE("3071-0000-5590","")</f>
        <v>3071-0000-5590</v>
      </c>
      <c r="B6057" s="4" t="s">
        <v>7064</v>
      </c>
      <c r="C6057" s="5">
        <v>41489</v>
      </c>
      <c r="D6057" s="5">
        <v>41549</v>
      </c>
      <c r="E6057" s="4" t="s">
        <v>5185</v>
      </c>
      <c r="F6057" s="4" t="s">
        <v>5185</v>
      </c>
    </row>
    <row r="6058" spans="1:6" x14ac:dyDescent="0.25">
      <c r="A6058" s="4" t="str">
        <f>CONCATENATE("3071-0000-5348","")</f>
        <v>3071-0000-5348</v>
      </c>
      <c r="B6058" s="4" t="s">
        <v>6849</v>
      </c>
      <c r="C6058" s="5">
        <v>41489</v>
      </c>
      <c r="D6058" s="5">
        <v>41549</v>
      </c>
      <c r="E6058" s="4" t="s">
        <v>5185</v>
      </c>
      <c r="F6058" s="4" t="s">
        <v>5185</v>
      </c>
    </row>
    <row r="6059" spans="1:6" x14ac:dyDescent="0.25">
      <c r="A6059" s="4" t="str">
        <f>CONCATENATE("3071-0000-8161","")</f>
        <v>3071-0000-8161</v>
      </c>
      <c r="B6059" s="4" t="s">
        <v>5416</v>
      </c>
      <c r="C6059" s="5">
        <v>41489</v>
      </c>
      <c r="D6059" s="5">
        <v>41549</v>
      </c>
      <c r="E6059" s="4" t="s">
        <v>5185</v>
      </c>
      <c r="F6059" s="4" t="s">
        <v>5185</v>
      </c>
    </row>
    <row r="6060" spans="1:6" x14ac:dyDescent="0.25">
      <c r="A6060" s="4" t="str">
        <f>CONCATENATE("3071-0000-1200","")</f>
        <v>3071-0000-1200</v>
      </c>
      <c r="B6060" s="4" t="s">
        <v>2117</v>
      </c>
      <c r="C6060" s="5">
        <v>41489</v>
      </c>
      <c r="D6060" s="5">
        <v>41549</v>
      </c>
      <c r="E6060" s="4" t="s">
        <v>1857</v>
      </c>
      <c r="F6060" s="4" t="s">
        <v>2108</v>
      </c>
    </row>
    <row r="6061" spans="1:6" x14ac:dyDescent="0.25">
      <c r="A6061" s="4" t="str">
        <f>CONCATENATE("3071-0000-8378","")</f>
        <v>3071-0000-8378</v>
      </c>
      <c r="B6061" s="4" t="s">
        <v>5435</v>
      </c>
      <c r="C6061" s="5">
        <v>41489</v>
      </c>
      <c r="D6061" s="5">
        <v>41549</v>
      </c>
      <c r="E6061" s="4" t="s">
        <v>5185</v>
      </c>
      <c r="F6061" s="4" t="s">
        <v>5185</v>
      </c>
    </row>
    <row r="6062" spans="1:6" x14ac:dyDescent="0.25">
      <c r="A6062" s="4" t="str">
        <f>CONCATENATE("3071-0000-5302","")</f>
        <v>3071-0000-5302</v>
      </c>
      <c r="B6062" s="4" t="s">
        <v>6794</v>
      </c>
      <c r="C6062" s="5">
        <v>41489</v>
      </c>
      <c r="D6062" s="5">
        <v>41549</v>
      </c>
      <c r="E6062" s="4" t="s">
        <v>5185</v>
      </c>
      <c r="F6062" s="4" t="s">
        <v>5185</v>
      </c>
    </row>
    <row r="6063" spans="1:6" x14ac:dyDescent="0.25">
      <c r="A6063" s="4" t="str">
        <f>CONCATENATE("3071-0000-3653","")</f>
        <v>3071-0000-3653</v>
      </c>
      <c r="B6063" s="4" t="s">
        <v>1584</v>
      </c>
      <c r="C6063" s="5">
        <v>41489</v>
      </c>
      <c r="D6063" s="5">
        <v>41549</v>
      </c>
      <c r="E6063" s="4" t="s">
        <v>1410</v>
      </c>
      <c r="F6063" s="4" t="s">
        <v>1411</v>
      </c>
    </row>
    <row r="6064" spans="1:6" x14ac:dyDescent="0.25">
      <c r="A6064" s="4" t="str">
        <f>CONCATENATE("3071-0000-3583","")</f>
        <v>3071-0000-3583</v>
      </c>
      <c r="B6064" s="4" t="s">
        <v>1564</v>
      </c>
      <c r="C6064" s="5">
        <v>41489</v>
      </c>
      <c r="D6064" s="5">
        <v>41549</v>
      </c>
      <c r="E6064" s="4" t="s">
        <v>1410</v>
      </c>
      <c r="F6064" s="4" t="s">
        <v>1411</v>
      </c>
    </row>
    <row r="6065" spans="1:6" x14ac:dyDescent="0.25">
      <c r="A6065" s="4" t="str">
        <f>CONCATENATE("3071-0000-7230","")</f>
        <v>3071-0000-7230</v>
      </c>
      <c r="B6065" s="4" t="s">
        <v>4917</v>
      </c>
      <c r="C6065" s="5">
        <v>41489</v>
      </c>
      <c r="D6065" s="5">
        <v>41549</v>
      </c>
      <c r="E6065" s="4" t="s">
        <v>1410</v>
      </c>
      <c r="F6065" s="4" t="s">
        <v>1410</v>
      </c>
    </row>
    <row r="6066" spans="1:6" x14ac:dyDescent="0.25">
      <c r="A6066" s="4" t="str">
        <f>CONCATENATE("3071-0000-5303","")</f>
        <v>3071-0000-5303</v>
      </c>
      <c r="B6066" s="4" t="s">
        <v>6755</v>
      </c>
      <c r="C6066" s="5">
        <v>41489</v>
      </c>
      <c r="D6066" s="5">
        <v>41549</v>
      </c>
      <c r="E6066" s="4" t="s">
        <v>5185</v>
      </c>
      <c r="F6066" s="4" t="s">
        <v>5185</v>
      </c>
    </row>
    <row r="6067" spans="1:6" x14ac:dyDescent="0.25">
      <c r="A6067" s="4" t="str">
        <f>CONCATENATE("3071-0000-7140","")</f>
        <v>3071-0000-7140</v>
      </c>
      <c r="B6067" s="4" t="s">
        <v>4965</v>
      </c>
      <c r="C6067" s="5">
        <v>41489</v>
      </c>
      <c r="D6067" s="5">
        <v>41549</v>
      </c>
      <c r="E6067" s="4" t="s">
        <v>1410</v>
      </c>
      <c r="F6067" s="4" t="s">
        <v>1410</v>
      </c>
    </row>
    <row r="6068" spans="1:6" x14ac:dyDescent="0.25">
      <c r="A6068" s="4" t="str">
        <f>CONCATENATE("3071-0000-8413","")</f>
        <v>3071-0000-8413</v>
      </c>
      <c r="B6068" s="4" t="s">
        <v>5441</v>
      </c>
      <c r="C6068" s="5">
        <v>41489</v>
      </c>
      <c r="D6068" s="5">
        <v>41549</v>
      </c>
      <c r="E6068" s="4" t="s">
        <v>1410</v>
      </c>
      <c r="F6068" s="4" t="s">
        <v>4616</v>
      </c>
    </row>
    <row r="6069" spans="1:6" x14ac:dyDescent="0.25">
      <c r="A6069" s="4" t="str">
        <f>CONCATENATE("3071-0000-8084","")</f>
        <v>3071-0000-8084</v>
      </c>
      <c r="B6069" s="4" t="s">
        <v>5914</v>
      </c>
      <c r="C6069" s="5">
        <v>41489</v>
      </c>
      <c r="D6069" s="5">
        <v>41549</v>
      </c>
      <c r="E6069" s="4" t="s">
        <v>5185</v>
      </c>
      <c r="F6069" s="4" t="s">
        <v>5185</v>
      </c>
    </row>
    <row r="6070" spans="1:6" x14ac:dyDescent="0.25">
      <c r="A6070" s="4" t="str">
        <f>CONCATENATE("3071-0000-5455","")</f>
        <v>3071-0000-5455</v>
      </c>
      <c r="B6070" s="4" t="s">
        <v>6712</v>
      </c>
      <c r="C6070" s="5">
        <v>41489</v>
      </c>
      <c r="D6070" s="5">
        <v>41549</v>
      </c>
      <c r="E6070" s="4" t="s">
        <v>5185</v>
      </c>
      <c r="F6070" s="4" t="s">
        <v>5185</v>
      </c>
    </row>
    <row r="6071" spans="1:6" x14ac:dyDescent="0.25">
      <c r="A6071" s="4" t="str">
        <f>CONCATENATE("3071-0000-7602","")</f>
        <v>3071-0000-7602</v>
      </c>
      <c r="B6071" s="4" t="s">
        <v>5016</v>
      </c>
      <c r="C6071" s="5">
        <v>41489</v>
      </c>
      <c r="D6071" s="5">
        <v>41549</v>
      </c>
      <c r="E6071" s="4" t="s">
        <v>1410</v>
      </c>
      <c r="F6071" s="4" t="s">
        <v>4616</v>
      </c>
    </row>
    <row r="6072" spans="1:6" x14ac:dyDescent="0.25">
      <c r="A6072" s="4" t="str">
        <f>CONCATENATE("3071-0000-0347","")</f>
        <v>3071-0000-0347</v>
      </c>
      <c r="B6072" s="4" t="s">
        <v>340</v>
      </c>
      <c r="C6072" s="5">
        <v>41489</v>
      </c>
      <c r="D6072" s="5">
        <v>41549</v>
      </c>
      <c r="E6072" s="4" t="s">
        <v>7</v>
      </c>
      <c r="F6072" s="4" t="s">
        <v>7</v>
      </c>
    </row>
    <row r="6073" spans="1:6" x14ac:dyDescent="0.25">
      <c r="A6073" s="4" t="str">
        <f>CONCATENATE("3071-0000-2070","")</f>
        <v>3071-0000-2070</v>
      </c>
      <c r="B6073" s="4" t="s">
        <v>3450</v>
      </c>
      <c r="C6073" s="5">
        <v>41489</v>
      </c>
      <c r="D6073" s="5">
        <v>41549</v>
      </c>
      <c r="E6073" s="4" t="s">
        <v>2944</v>
      </c>
      <c r="F6073" s="4" t="s">
        <v>2945</v>
      </c>
    </row>
    <row r="6074" spans="1:6" x14ac:dyDescent="0.25">
      <c r="A6074" s="4" t="str">
        <f>CONCATENATE("3071-0000-2225","")</f>
        <v>3071-0000-2225</v>
      </c>
      <c r="B6074" s="4" t="s">
        <v>3552</v>
      </c>
      <c r="C6074" s="5">
        <v>41489</v>
      </c>
      <c r="D6074" s="5">
        <v>41549</v>
      </c>
      <c r="E6074" s="4" t="s">
        <v>2944</v>
      </c>
      <c r="F6074" s="4" t="s">
        <v>2945</v>
      </c>
    </row>
    <row r="6075" spans="1:6" x14ac:dyDescent="0.25">
      <c r="A6075" s="4" t="str">
        <f>CONCATENATE("3071-0000-3125","")</f>
        <v>3071-0000-3125</v>
      </c>
      <c r="B6075" s="4" t="s">
        <v>873</v>
      </c>
      <c r="C6075" s="5">
        <v>41489</v>
      </c>
      <c r="D6075" s="5">
        <v>41549</v>
      </c>
      <c r="E6075" s="4" t="s">
        <v>7</v>
      </c>
      <c r="F6075" s="4" t="s">
        <v>808</v>
      </c>
    </row>
    <row r="6076" spans="1:6" x14ac:dyDescent="0.25">
      <c r="A6076" s="4" t="str">
        <f>CONCATENATE("3071-0000-6993","")</f>
        <v>3071-0000-6993</v>
      </c>
      <c r="B6076" s="4" t="s">
        <v>4407</v>
      </c>
      <c r="C6076" s="5">
        <v>41489</v>
      </c>
      <c r="D6076" s="5">
        <v>41549</v>
      </c>
      <c r="E6076" s="4" t="s">
        <v>1410</v>
      </c>
      <c r="F6076" s="4" t="s">
        <v>1410</v>
      </c>
    </row>
    <row r="6077" spans="1:6" x14ac:dyDescent="0.25">
      <c r="A6077" s="4" t="str">
        <f>CONCATENATE("3071-0000-9484","")</f>
        <v>3071-0000-9484</v>
      </c>
      <c r="B6077" s="4" t="s">
        <v>8571</v>
      </c>
      <c r="C6077" s="5">
        <v>41489</v>
      </c>
      <c r="D6077" s="5">
        <v>41549</v>
      </c>
      <c r="E6077" s="4" t="s">
        <v>1410</v>
      </c>
      <c r="F6077" s="4" t="s">
        <v>4459</v>
      </c>
    </row>
    <row r="6078" spans="1:6" x14ac:dyDescent="0.25">
      <c r="A6078" s="4" t="str">
        <f>CONCATENATE("3071-0000-7288","")</f>
        <v>3071-0000-7288</v>
      </c>
      <c r="B6078" s="4" t="s">
        <v>4791</v>
      </c>
      <c r="C6078" s="5">
        <v>41489</v>
      </c>
      <c r="D6078" s="5">
        <v>41549</v>
      </c>
      <c r="E6078" s="4" t="s">
        <v>1410</v>
      </c>
      <c r="F6078" s="4" t="s">
        <v>1410</v>
      </c>
    </row>
    <row r="6079" spans="1:6" x14ac:dyDescent="0.25">
      <c r="A6079" s="4" t="str">
        <f>CONCATENATE("3071-0000-7386","")</f>
        <v>3071-0000-7386</v>
      </c>
      <c r="B6079" s="4" t="s">
        <v>4780</v>
      </c>
      <c r="C6079" s="5">
        <v>41489</v>
      </c>
      <c r="D6079" s="5">
        <v>41549</v>
      </c>
      <c r="E6079" s="4" t="s">
        <v>1410</v>
      </c>
      <c r="F6079" s="4" t="s">
        <v>1410</v>
      </c>
    </row>
    <row r="6080" spans="1:6" x14ac:dyDescent="0.25">
      <c r="A6080" s="4" t="str">
        <f>CONCATENATE("3071-0000-7111","")</f>
        <v>3071-0000-7111</v>
      </c>
      <c r="B6080" s="4" t="s">
        <v>4731</v>
      </c>
      <c r="C6080" s="5">
        <v>41489</v>
      </c>
      <c r="D6080" s="5">
        <v>41549</v>
      </c>
      <c r="E6080" s="4" t="s">
        <v>1410</v>
      </c>
      <c r="F6080" s="4" t="s">
        <v>4655</v>
      </c>
    </row>
    <row r="6081" spans="1:6" x14ac:dyDescent="0.25">
      <c r="A6081" s="4" t="str">
        <f>CONCATENATE("3071-0000-7227","")</f>
        <v>3071-0000-7227</v>
      </c>
      <c r="B6081" s="4" t="s">
        <v>4982</v>
      </c>
      <c r="C6081" s="5">
        <v>41489</v>
      </c>
      <c r="D6081" s="5">
        <v>41549</v>
      </c>
      <c r="E6081" s="4" t="s">
        <v>1410</v>
      </c>
      <c r="F6081" s="4" t="s">
        <v>1410</v>
      </c>
    </row>
    <row r="6082" spans="1:6" x14ac:dyDescent="0.25">
      <c r="A6082" s="4" t="str">
        <f>CONCATENATE("3071-0000-9472","")</f>
        <v>3071-0000-9472</v>
      </c>
      <c r="B6082" s="4" t="s">
        <v>8570</v>
      </c>
      <c r="C6082" s="5">
        <v>41489</v>
      </c>
      <c r="D6082" s="5">
        <v>41549</v>
      </c>
      <c r="E6082" s="4" t="s">
        <v>1410</v>
      </c>
      <c r="F6082" s="4" t="s">
        <v>4459</v>
      </c>
    </row>
    <row r="6083" spans="1:6" x14ac:dyDescent="0.25">
      <c r="A6083" s="4" t="str">
        <f>CONCATENATE("3071-0000-5487","")</f>
        <v>3071-0000-5487</v>
      </c>
      <c r="B6083" s="4" t="s">
        <v>6645</v>
      </c>
      <c r="C6083" s="5">
        <v>41489</v>
      </c>
      <c r="D6083" s="5">
        <v>41549</v>
      </c>
      <c r="E6083" s="4" t="s">
        <v>1410</v>
      </c>
      <c r="F6083" s="4" t="s">
        <v>6635</v>
      </c>
    </row>
    <row r="6084" spans="1:6" x14ac:dyDescent="0.25">
      <c r="A6084" s="4" t="str">
        <f>CONCATENATE("3071-0000-5367","")</f>
        <v>3071-0000-5367</v>
      </c>
      <c r="B6084" s="4" t="s">
        <v>6871</v>
      </c>
      <c r="C6084" s="5">
        <v>41489</v>
      </c>
      <c r="D6084" s="5">
        <v>41549</v>
      </c>
      <c r="E6084" s="4" t="s">
        <v>5185</v>
      </c>
      <c r="F6084" s="4" t="s">
        <v>5185</v>
      </c>
    </row>
    <row r="6085" spans="1:6" x14ac:dyDescent="0.25">
      <c r="A6085" s="4" t="str">
        <f>CONCATENATE("3071-0000-5676","")</f>
        <v>3071-0000-5676</v>
      </c>
      <c r="B6085" s="4" t="s">
        <v>7547</v>
      </c>
      <c r="C6085" s="5">
        <v>41489</v>
      </c>
      <c r="D6085" s="5">
        <v>41549</v>
      </c>
      <c r="E6085" s="4" t="s">
        <v>5185</v>
      </c>
      <c r="F6085" s="4" t="s">
        <v>5185</v>
      </c>
    </row>
    <row r="6086" spans="1:6" x14ac:dyDescent="0.25">
      <c r="A6086" s="4" t="str">
        <f>CONCATENATE("3071-0000-5684","")</f>
        <v>3071-0000-5684</v>
      </c>
      <c r="B6086" s="4" t="s">
        <v>7559</v>
      </c>
      <c r="C6086" s="5">
        <v>41489</v>
      </c>
      <c r="D6086" s="5">
        <v>41549</v>
      </c>
      <c r="E6086" s="4" t="s">
        <v>5185</v>
      </c>
      <c r="F6086" s="4" t="s">
        <v>5185</v>
      </c>
    </row>
    <row r="6087" spans="1:6" x14ac:dyDescent="0.25">
      <c r="A6087" s="4" t="str">
        <f>CONCATENATE("3071-0000-5318","")</f>
        <v>3071-0000-5318</v>
      </c>
      <c r="B6087" s="4" t="s">
        <v>6763</v>
      </c>
      <c r="C6087" s="5">
        <v>41489</v>
      </c>
      <c r="D6087" s="5">
        <v>41549</v>
      </c>
      <c r="E6087" s="4" t="s">
        <v>1410</v>
      </c>
      <c r="F6087" s="4" t="s">
        <v>6635</v>
      </c>
    </row>
    <row r="6088" spans="1:6" x14ac:dyDescent="0.25">
      <c r="A6088" s="4" t="str">
        <f>CONCATENATE("3071-0000-1477","")</f>
        <v>3071-0000-1477</v>
      </c>
      <c r="B6088" s="4" t="s">
        <v>2926</v>
      </c>
      <c r="C6088" s="5">
        <v>41489</v>
      </c>
      <c r="D6088" s="5">
        <v>41549</v>
      </c>
      <c r="E6088" s="4" t="s">
        <v>1381</v>
      </c>
      <c r="F6088" s="4" t="s">
        <v>2303</v>
      </c>
    </row>
    <row r="6089" spans="1:6" x14ac:dyDescent="0.25">
      <c r="A6089" s="4" t="str">
        <f>CONCATENATE("3071-0000-1716","")</f>
        <v>3071-0000-1716</v>
      </c>
      <c r="B6089" s="4" t="s">
        <v>2660</v>
      </c>
      <c r="C6089" s="5">
        <v>41489</v>
      </c>
      <c r="D6089" s="5">
        <v>41549</v>
      </c>
      <c r="E6089" s="4" t="s">
        <v>1381</v>
      </c>
      <c r="F6089" s="4" t="s">
        <v>2319</v>
      </c>
    </row>
    <row r="6090" spans="1:6" x14ac:dyDescent="0.25">
      <c r="A6090" s="4" t="str">
        <f>CONCATENATE("3071-0000-1446","")</f>
        <v>3071-0000-1446</v>
      </c>
      <c r="B6090" s="4" t="s">
        <v>2684</v>
      </c>
      <c r="C6090" s="5">
        <v>41489</v>
      </c>
      <c r="D6090" s="5">
        <v>41549</v>
      </c>
      <c r="E6090" s="4" t="s">
        <v>1381</v>
      </c>
      <c r="F6090" s="4" t="s">
        <v>2303</v>
      </c>
    </row>
    <row r="6091" spans="1:6" x14ac:dyDescent="0.25">
      <c r="A6091" s="4" t="str">
        <f>CONCATENATE("3071-0000-3865","")</f>
        <v>3071-0000-3865</v>
      </c>
      <c r="B6091" s="4" t="s">
        <v>4012</v>
      </c>
      <c r="C6091" s="5">
        <v>41489</v>
      </c>
      <c r="D6091" s="5">
        <v>41549</v>
      </c>
      <c r="E6091" s="4" t="s">
        <v>1381</v>
      </c>
      <c r="F6091" s="4" t="s">
        <v>3994</v>
      </c>
    </row>
    <row r="6092" spans="1:6" x14ac:dyDescent="0.25">
      <c r="A6092" s="4" t="str">
        <f>CONCATENATE("3071-0000-3862","")</f>
        <v>3071-0000-3862</v>
      </c>
      <c r="B6092" s="4" t="s">
        <v>4009</v>
      </c>
      <c r="C6092" s="5">
        <v>41489</v>
      </c>
      <c r="D6092" s="5">
        <v>41549</v>
      </c>
      <c r="E6092" s="4" t="s">
        <v>1381</v>
      </c>
      <c r="F6092" s="4" t="s">
        <v>3994</v>
      </c>
    </row>
    <row r="6093" spans="1:6" x14ac:dyDescent="0.25">
      <c r="A6093" s="4" t="str">
        <f>CONCATENATE("3071-0000-7196","")</f>
        <v>3071-0000-7196</v>
      </c>
      <c r="B6093" s="4" t="s">
        <v>5051</v>
      </c>
      <c r="C6093" s="5">
        <v>41489</v>
      </c>
      <c r="D6093" s="5">
        <v>41549</v>
      </c>
      <c r="E6093" s="4" t="s">
        <v>1410</v>
      </c>
      <c r="F6093" s="4" t="s">
        <v>1410</v>
      </c>
    </row>
    <row r="6094" spans="1:6" x14ac:dyDescent="0.25">
      <c r="A6094" s="4" t="str">
        <f>CONCATENATE("3071-0000-7274","")</f>
        <v>3071-0000-7274</v>
      </c>
      <c r="B6094" s="4" t="s">
        <v>5128</v>
      </c>
      <c r="C6094" s="5">
        <v>41489</v>
      </c>
      <c r="D6094" s="5">
        <v>41549</v>
      </c>
      <c r="E6094" s="4" t="s">
        <v>1410</v>
      </c>
      <c r="F6094" s="4" t="s">
        <v>1410</v>
      </c>
    </row>
    <row r="6095" spans="1:6" x14ac:dyDescent="0.25">
      <c r="A6095" s="4" t="str">
        <f>CONCATENATE("3071-0000-5252","")</f>
        <v>3071-0000-5252</v>
      </c>
      <c r="B6095" s="4" t="s">
        <v>6714</v>
      </c>
      <c r="C6095" s="5">
        <v>41489</v>
      </c>
      <c r="D6095" s="5">
        <v>41549</v>
      </c>
      <c r="E6095" s="4" t="s">
        <v>5185</v>
      </c>
      <c r="F6095" s="4" t="s">
        <v>5185</v>
      </c>
    </row>
    <row r="6096" spans="1:6" x14ac:dyDescent="0.25">
      <c r="A6096" s="4" t="str">
        <f>CONCATENATE("3071-0000-1426","")</f>
        <v>3071-0000-1426</v>
      </c>
      <c r="B6096" s="4" t="s">
        <v>2653</v>
      </c>
      <c r="C6096" s="5">
        <v>41489</v>
      </c>
      <c r="D6096" s="5">
        <v>41549</v>
      </c>
      <c r="E6096" s="4" t="s">
        <v>1381</v>
      </c>
      <c r="F6096" s="4" t="s">
        <v>2303</v>
      </c>
    </row>
    <row r="6097" spans="1:6" x14ac:dyDescent="0.25">
      <c r="A6097" s="4" t="str">
        <f>CONCATENATE("3071-0000-7233","")</f>
        <v>3071-0000-7233</v>
      </c>
      <c r="B6097" s="4" t="s">
        <v>4923</v>
      </c>
      <c r="C6097" s="5">
        <v>41489</v>
      </c>
      <c r="D6097" s="5">
        <v>41549</v>
      </c>
      <c r="E6097" s="4" t="s">
        <v>1410</v>
      </c>
      <c r="F6097" s="4" t="s">
        <v>1410</v>
      </c>
    </row>
    <row r="6098" spans="1:6" x14ac:dyDescent="0.25">
      <c r="A6098" s="4" t="str">
        <f>CONCATENATE("3071-0000-2751","")</f>
        <v>3071-0000-2751</v>
      </c>
      <c r="B6098" s="4" t="s">
        <v>818</v>
      </c>
      <c r="C6098" s="5">
        <v>41489</v>
      </c>
      <c r="D6098" s="5">
        <v>41549</v>
      </c>
      <c r="E6098" s="4" t="s">
        <v>7</v>
      </c>
      <c r="F6098" s="4" t="s">
        <v>808</v>
      </c>
    </row>
    <row r="6099" spans="1:6" x14ac:dyDescent="0.25">
      <c r="A6099" s="4" t="str">
        <f>CONCATENATE("3071-0000-7250","")</f>
        <v>3071-0000-7250</v>
      </c>
      <c r="B6099" s="4" t="s">
        <v>4940</v>
      </c>
      <c r="C6099" s="5">
        <v>41489</v>
      </c>
      <c r="D6099" s="5">
        <v>41549</v>
      </c>
      <c r="E6099" s="4" t="s">
        <v>1410</v>
      </c>
      <c r="F6099" s="4" t="s">
        <v>1410</v>
      </c>
    </row>
    <row r="6100" spans="1:6" x14ac:dyDescent="0.25">
      <c r="A6100" s="4" t="str">
        <f>CONCATENATE("3071-0000-7734","")</f>
        <v>3071-0000-7734</v>
      </c>
      <c r="B6100" s="4" t="s">
        <v>4401</v>
      </c>
      <c r="C6100" s="5">
        <v>41489</v>
      </c>
      <c r="D6100" s="5">
        <v>41549</v>
      </c>
      <c r="E6100" s="4" t="s">
        <v>1410</v>
      </c>
      <c r="F6100" s="4" t="s">
        <v>1410</v>
      </c>
    </row>
    <row r="6101" spans="1:6" x14ac:dyDescent="0.25">
      <c r="A6101" s="4" t="str">
        <f>CONCATENATE("3071-0000-1432","")</f>
        <v>3071-0000-1432</v>
      </c>
      <c r="B6101" s="4" t="s">
        <v>2936</v>
      </c>
      <c r="C6101" s="5">
        <v>41489</v>
      </c>
      <c r="D6101" s="5">
        <v>41549</v>
      </c>
      <c r="E6101" s="4" t="s">
        <v>1381</v>
      </c>
      <c r="F6101" s="4" t="s">
        <v>2303</v>
      </c>
    </row>
    <row r="6102" spans="1:6" x14ac:dyDescent="0.25">
      <c r="A6102" s="4" t="str">
        <f>CONCATENATE("3071-0000-5313","")</f>
        <v>3071-0000-5313</v>
      </c>
      <c r="B6102" s="4" t="s">
        <v>6805</v>
      </c>
      <c r="C6102" s="5">
        <v>41489</v>
      </c>
      <c r="D6102" s="5">
        <v>41549</v>
      </c>
      <c r="E6102" s="4" t="s">
        <v>5185</v>
      </c>
      <c r="F6102" s="4" t="s">
        <v>5185</v>
      </c>
    </row>
    <row r="6103" spans="1:6" x14ac:dyDescent="0.25">
      <c r="A6103" s="4" t="str">
        <f>CONCATENATE("3071-0000-4338","")</f>
        <v>3071-0000-4338</v>
      </c>
      <c r="B6103" s="4" t="s">
        <v>8753</v>
      </c>
      <c r="C6103" s="5">
        <v>41489</v>
      </c>
      <c r="D6103" s="5">
        <v>41549</v>
      </c>
      <c r="E6103" s="4" t="s">
        <v>1410</v>
      </c>
      <c r="F6103" s="4" t="s">
        <v>8696</v>
      </c>
    </row>
    <row r="6104" spans="1:6" x14ac:dyDescent="0.25">
      <c r="A6104" s="4" t="str">
        <f>CONCATENATE("3071-0000-5376","")</f>
        <v>3071-0000-5376</v>
      </c>
      <c r="B6104" s="4" t="s">
        <v>6886</v>
      </c>
      <c r="C6104" s="5">
        <v>41489</v>
      </c>
      <c r="D6104" s="5">
        <v>41549</v>
      </c>
      <c r="E6104" s="4" t="s">
        <v>5185</v>
      </c>
      <c r="F6104" s="4" t="s">
        <v>6837</v>
      </c>
    </row>
    <row r="6105" spans="1:6" x14ac:dyDescent="0.25">
      <c r="A6105" s="4" t="str">
        <f>CONCATENATE("3071-0000-5954","")</f>
        <v>3071-0000-5954</v>
      </c>
      <c r="B6105" s="4" t="s">
        <v>7462</v>
      </c>
      <c r="C6105" s="5">
        <v>41489</v>
      </c>
      <c r="D6105" s="5">
        <v>41549</v>
      </c>
      <c r="E6105" s="4" t="s">
        <v>5185</v>
      </c>
      <c r="F6105" s="4" t="s">
        <v>5185</v>
      </c>
    </row>
    <row r="6106" spans="1:6" x14ac:dyDescent="0.25">
      <c r="A6106" s="4" t="str">
        <f>CONCATENATE("3071-0000-5222","")</f>
        <v>3071-0000-5222</v>
      </c>
      <c r="B6106" s="4" t="s">
        <v>6658</v>
      </c>
      <c r="C6106" s="5">
        <v>41489</v>
      </c>
      <c r="D6106" s="5">
        <v>41549</v>
      </c>
      <c r="E6106" s="4" t="s">
        <v>5185</v>
      </c>
      <c r="F6106" s="4" t="s">
        <v>5185</v>
      </c>
    </row>
    <row r="6107" spans="1:6" x14ac:dyDescent="0.25">
      <c r="A6107" s="4" t="str">
        <f>CONCATENATE("3071-0000-1352","")</f>
        <v>3071-0000-1352</v>
      </c>
      <c r="B6107" s="4" t="s">
        <v>2496</v>
      </c>
      <c r="C6107" s="5">
        <v>41489</v>
      </c>
      <c r="D6107" s="5">
        <v>41549</v>
      </c>
      <c r="E6107" s="4" t="s">
        <v>1381</v>
      </c>
      <c r="F6107" s="4" t="s">
        <v>2303</v>
      </c>
    </row>
    <row r="6108" spans="1:6" x14ac:dyDescent="0.25">
      <c r="A6108" s="4" t="str">
        <f>CONCATENATE("3071-0000-6668","")</f>
        <v>3071-0000-6668</v>
      </c>
      <c r="B6108" s="4" t="s">
        <v>7749</v>
      </c>
      <c r="C6108" s="5">
        <v>41489</v>
      </c>
      <c r="D6108" s="5">
        <v>41549</v>
      </c>
      <c r="E6108" s="4" t="s">
        <v>5185</v>
      </c>
      <c r="F6108" s="4" t="s">
        <v>5185</v>
      </c>
    </row>
    <row r="6109" spans="1:6" x14ac:dyDescent="0.25">
      <c r="A6109" s="4" t="str">
        <f>CONCATENATE("3071-0000-3008","")</f>
        <v>3071-0000-3008</v>
      </c>
      <c r="B6109" s="4" t="s">
        <v>866</v>
      </c>
      <c r="C6109" s="5">
        <v>41489</v>
      </c>
      <c r="D6109" s="5">
        <v>41549</v>
      </c>
      <c r="E6109" s="4" t="s">
        <v>7</v>
      </c>
      <c r="F6109" s="4" t="s">
        <v>808</v>
      </c>
    </row>
    <row r="6110" spans="1:6" x14ac:dyDescent="0.25">
      <c r="A6110" s="4" t="str">
        <f>CONCATENATE("3071-0000-0125","")</f>
        <v>3071-0000-0125</v>
      </c>
      <c r="B6110" s="4" t="s">
        <v>268</v>
      </c>
      <c r="C6110" s="5">
        <v>41489</v>
      </c>
      <c r="D6110" s="5">
        <v>41549</v>
      </c>
      <c r="E6110" s="4" t="s">
        <v>7</v>
      </c>
      <c r="F6110" s="4" t="s">
        <v>7</v>
      </c>
    </row>
    <row r="6111" spans="1:6" x14ac:dyDescent="0.25">
      <c r="A6111" s="4" t="str">
        <f>CONCATENATE("3071-0000-7110","")</f>
        <v>3071-0000-7110</v>
      </c>
      <c r="B6111" s="4" t="s">
        <v>4725</v>
      </c>
      <c r="C6111" s="5">
        <v>41489</v>
      </c>
      <c r="D6111" s="5">
        <v>41549</v>
      </c>
      <c r="E6111" s="4" t="s">
        <v>1410</v>
      </c>
      <c r="F6111" s="4" t="s">
        <v>1410</v>
      </c>
    </row>
    <row r="6112" spans="1:6" x14ac:dyDescent="0.25">
      <c r="A6112" s="4" t="str">
        <f>CONCATENATE("3071-0000-6665","")</f>
        <v>3071-0000-6665</v>
      </c>
      <c r="B6112" s="4" t="s">
        <v>7745</v>
      </c>
      <c r="C6112" s="5">
        <v>41489</v>
      </c>
      <c r="D6112" s="5">
        <v>41549</v>
      </c>
      <c r="E6112" s="4" t="s">
        <v>5185</v>
      </c>
      <c r="F6112" s="4" t="s">
        <v>5185</v>
      </c>
    </row>
    <row r="6113" spans="1:6" x14ac:dyDescent="0.25">
      <c r="A6113" s="4" t="str">
        <f>CONCATENATE("3071-0000-3522","")</f>
        <v>3071-0000-3522</v>
      </c>
      <c r="B6113" s="4" t="s">
        <v>1843</v>
      </c>
      <c r="C6113" s="5">
        <v>41489</v>
      </c>
      <c r="D6113" s="5">
        <v>41549</v>
      </c>
      <c r="E6113" s="4" t="s">
        <v>1410</v>
      </c>
      <c r="F6113" s="4" t="s">
        <v>1411</v>
      </c>
    </row>
    <row r="6114" spans="1:6" x14ac:dyDescent="0.25">
      <c r="A6114" s="4" t="str">
        <f>CONCATENATE("3071-0000-7605","")</f>
        <v>3071-0000-7605</v>
      </c>
      <c r="B6114" s="4" t="s">
        <v>4336</v>
      </c>
      <c r="C6114" s="5">
        <v>41489</v>
      </c>
      <c r="D6114" s="5">
        <v>41549</v>
      </c>
      <c r="E6114" s="4" t="s">
        <v>1410</v>
      </c>
      <c r="F6114" s="4" t="s">
        <v>1410</v>
      </c>
    </row>
    <row r="6115" spans="1:6" x14ac:dyDescent="0.25">
      <c r="A6115" s="4" t="str">
        <f>CONCATENATE("3071-0000-9394","")</f>
        <v>3071-0000-9394</v>
      </c>
      <c r="B6115" s="4" t="s">
        <v>8476</v>
      </c>
      <c r="C6115" s="5">
        <v>41489</v>
      </c>
      <c r="D6115" s="5">
        <v>41549</v>
      </c>
      <c r="E6115" s="4" t="s">
        <v>1410</v>
      </c>
      <c r="F6115" s="4" t="s">
        <v>4459</v>
      </c>
    </row>
    <row r="6116" spans="1:6" x14ac:dyDescent="0.25">
      <c r="A6116" s="4" t="str">
        <f>CONCATENATE("3071-0000-6783","")</f>
        <v>3071-0000-6783</v>
      </c>
      <c r="B6116" s="4" t="s">
        <v>8064</v>
      </c>
      <c r="C6116" s="5">
        <v>41489</v>
      </c>
      <c r="D6116" s="5">
        <v>41549</v>
      </c>
      <c r="E6116" s="4" t="s">
        <v>1410</v>
      </c>
      <c r="F6116" s="4" t="s">
        <v>4655</v>
      </c>
    </row>
    <row r="6117" spans="1:6" x14ac:dyDescent="0.25">
      <c r="A6117" s="4" t="str">
        <f>CONCATENATE("3071-0000-7335","")</f>
        <v>3071-0000-7335</v>
      </c>
      <c r="B6117" s="4" t="s">
        <v>4604</v>
      </c>
      <c r="C6117" s="5">
        <v>41489</v>
      </c>
      <c r="D6117" s="5">
        <v>41549</v>
      </c>
      <c r="E6117" s="4" t="s">
        <v>1410</v>
      </c>
      <c r="F6117" s="4" t="s">
        <v>1410</v>
      </c>
    </row>
    <row r="6118" spans="1:6" x14ac:dyDescent="0.25">
      <c r="A6118" s="4" t="str">
        <f>CONCATENATE("3071-0000-6814","")</f>
        <v>3071-0000-6814</v>
      </c>
      <c r="B6118" s="4" t="s">
        <v>8158</v>
      </c>
      <c r="C6118" s="5">
        <v>41489</v>
      </c>
      <c r="D6118" s="5">
        <v>41549</v>
      </c>
      <c r="E6118" s="4" t="s">
        <v>1410</v>
      </c>
      <c r="F6118" s="4" t="s">
        <v>7967</v>
      </c>
    </row>
    <row r="6119" spans="1:6" x14ac:dyDescent="0.25">
      <c r="A6119" s="4" t="str">
        <f>CONCATENATE("3071-0000-0298","")</f>
        <v>3071-0000-0298</v>
      </c>
      <c r="B6119" s="4" t="s">
        <v>608</v>
      </c>
      <c r="C6119" s="5">
        <v>41489</v>
      </c>
      <c r="D6119" s="5">
        <v>41549</v>
      </c>
      <c r="E6119" s="4" t="s">
        <v>7</v>
      </c>
      <c r="F6119" s="4" t="s">
        <v>7</v>
      </c>
    </row>
    <row r="6120" spans="1:6" x14ac:dyDescent="0.25">
      <c r="A6120" s="4" t="str">
        <f>CONCATENATE("3071-0000-6677","")</f>
        <v>3071-0000-6677</v>
      </c>
      <c r="B6120" s="4" t="s">
        <v>8032</v>
      </c>
      <c r="C6120" s="5">
        <v>41489</v>
      </c>
      <c r="D6120" s="5">
        <v>41549</v>
      </c>
      <c r="E6120" s="4" t="s">
        <v>5185</v>
      </c>
      <c r="F6120" s="4" t="s">
        <v>5185</v>
      </c>
    </row>
    <row r="6121" spans="1:6" x14ac:dyDescent="0.25">
      <c r="A6121" s="4" t="str">
        <f>CONCATENATE("3071-0000-6925","")</f>
        <v>3071-0000-6925</v>
      </c>
      <c r="B6121" s="4" t="s">
        <v>4592</v>
      </c>
      <c r="C6121" s="5">
        <v>41489</v>
      </c>
      <c r="D6121" s="5">
        <v>41549</v>
      </c>
      <c r="E6121" s="4" t="s">
        <v>1410</v>
      </c>
      <c r="F6121" s="4" t="s">
        <v>1410</v>
      </c>
    </row>
    <row r="6122" spans="1:6" x14ac:dyDescent="0.25">
      <c r="A6122" s="4" t="str">
        <f>CONCATENATE("3071-0000-8468","")</f>
        <v>3071-0000-8468</v>
      </c>
      <c r="B6122" s="4" t="s">
        <v>6047</v>
      </c>
      <c r="C6122" s="5">
        <v>41489</v>
      </c>
      <c r="D6122" s="5">
        <v>41549</v>
      </c>
      <c r="E6122" s="4" t="s">
        <v>5185</v>
      </c>
      <c r="F6122" s="4" t="s">
        <v>5945</v>
      </c>
    </row>
    <row r="6123" spans="1:6" x14ac:dyDescent="0.25">
      <c r="A6123" s="4" t="str">
        <f>CONCATENATE("3071-0000-7373","")</f>
        <v>3071-0000-7373</v>
      </c>
      <c r="B6123" s="4" t="s">
        <v>4286</v>
      </c>
      <c r="C6123" s="5">
        <v>41489</v>
      </c>
      <c r="D6123" s="5">
        <v>41549</v>
      </c>
      <c r="E6123" s="4" t="s">
        <v>1410</v>
      </c>
      <c r="F6123" s="4" t="s">
        <v>1410</v>
      </c>
    </row>
    <row r="6124" spans="1:6" x14ac:dyDescent="0.25">
      <c r="A6124" s="4" t="str">
        <f>CONCATENATE("3071-0000-9344","")</f>
        <v>3071-0000-9344</v>
      </c>
      <c r="B6124" s="4" t="s">
        <v>8469</v>
      </c>
      <c r="C6124" s="5">
        <v>41489</v>
      </c>
      <c r="D6124" s="5">
        <v>41549</v>
      </c>
      <c r="E6124" s="4" t="s">
        <v>1410</v>
      </c>
      <c r="F6124" s="4" t="s">
        <v>4459</v>
      </c>
    </row>
    <row r="6125" spans="1:6" x14ac:dyDescent="0.25">
      <c r="A6125" s="4" t="str">
        <f>CONCATENATE("3071-0000-9409","")</f>
        <v>3071-0000-9409</v>
      </c>
      <c r="B6125" s="4" t="s">
        <v>8492</v>
      </c>
      <c r="C6125" s="5">
        <v>41489</v>
      </c>
      <c r="D6125" s="5">
        <v>41549</v>
      </c>
      <c r="E6125" s="4" t="s">
        <v>1410</v>
      </c>
      <c r="F6125" s="4" t="s">
        <v>4459</v>
      </c>
    </row>
    <row r="6126" spans="1:6" x14ac:dyDescent="0.25">
      <c r="A6126" s="4" t="str">
        <f>CONCATENATE("3071-0000-9297","")</f>
        <v>3071-0000-9297</v>
      </c>
      <c r="B6126" s="4" t="s">
        <v>8391</v>
      </c>
      <c r="C6126" s="5">
        <v>41489</v>
      </c>
      <c r="D6126" s="5">
        <v>41549</v>
      </c>
      <c r="E6126" s="4" t="s">
        <v>5185</v>
      </c>
      <c r="F6126" s="4" t="s">
        <v>5185</v>
      </c>
    </row>
    <row r="6127" spans="1:6" x14ac:dyDescent="0.25">
      <c r="A6127" s="4" t="str">
        <f>CONCATENATE("3071-0000-6427","")</f>
        <v>3071-0000-6427</v>
      </c>
      <c r="B6127" s="4" t="s">
        <v>8132</v>
      </c>
      <c r="C6127" s="5">
        <v>41489</v>
      </c>
      <c r="D6127" s="5">
        <v>41549</v>
      </c>
      <c r="E6127" s="4" t="s">
        <v>5185</v>
      </c>
      <c r="F6127" s="4" t="s">
        <v>5185</v>
      </c>
    </row>
    <row r="6128" spans="1:6" x14ac:dyDescent="0.25">
      <c r="A6128" s="4" t="str">
        <f>CONCATENATE("3071-0000-6895","")</f>
        <v>3071-0000-6895</v>
      </c>
      <c r="B6128" s="4" t="s">
        <v>4492</v>
      </c>
      <c r="C6128" s="5">
        <v>41489</v>
      </c>
      <c r="D6128" s="5">
        <v>41549</v>
      </c>
      <c r="E6128" s="4" t="s">
        <v>1410</v>
      </c>
      <c r="F6128" s="4" t="s">
        <v>1410</v>
      </c>
    </row>
    <row r="6129" spans="1:6" x14ac:dyDescent="0.25">
      <c r="A6129" s="4" t="str">
        <f>CONCATENATE("3071-0000-8346","")</f>
        <v>3071-0000-8346</v>
      </c>
      <c r="B6129" s="4" t="s">
        <v>5861</v>
      </c>
      <c r="C6129" s="5">
        <v>41489</v>
      </c>
      <c r="D6129" s="5">
        <v>41549</v>
      </c>
      <c r="E6129" s="4" t="s">
        <v>5185</v>
      </c>
      <c r="F6129" s="4" t="s">
        <v>5185</v>
      </c>
    </row>
    <row r="6130" spans="1:6" x14ac:dyDescent="0.25">
      <c r="A6130" s="4" t="str">
        <f>CONCATENATE("3071-0000-7106","")</f>
        <v>3071-0000-7106</v>
      </c>
      <c r="B6130" s="4" t="s">
        <v>4784</v>
      </c>
      <c r="C6130" s="5">
        <v>41489</v>
      </c>
      <c r="D6130" s="5">
        <v>41549</v>
      </c>
      <c r="E6130" s="4" t="s">
        <v>1410</v>
      </c>
      <c r="F6130" s="4" t="s">
        <v>1410</v>
      </c>
    </row>
    <row r="6131" spans="1:6" x14ac:dyDescent="0.25">
      <c r="A6131" s="4" t="str">
        <f>CONCATENATE("3071-0000-3051","")</f>
        <v>3071-0000-3051</v>
      </c>
      <c r="B6131" s="4" t="s">
        <v>909</v>
      </c>
      <c r="C6131" s="5">
        <v>41489</v>
      </c>
      <c r="D6131" s="5">
        <v>41549</v>
      </c>
      <c r="E6131" s="4" t="s">
        <v>7</v>
      </c>
      <c r="F6131" s="4" t="s">
        <v>808</v>
      </c>
    </row>
    <row r="6132" spans="1:6" x14ac:dyDescent="0.25">
      <c r="A6132" s="4" t="str">
        <f>CONCATENATE("3071-0000-7327","")</f>
        <v>3071-0000-7327</v>
      </c>
      <c r="B6132" s="4" t="s">
        <v>4822</v>
      </c>
      <c r="C6132" s="5">
        <v>41489</v>
      </c>
      <c r="D6132" s="5">
        <v>41549</v>
      </c>
      <c r="E6132" s="4" t="s">
        <v>1410</v>
      </c>
      <c r="F6132" s="4" t="s">
        <v>1410</v>
      </c>
    </row>
    <row r="6133" spans="1:6" x14ac:dyDescent="0.25">
      <c r="A6133" s="4" t="str">
        <f>CONCATENATE("3071-0000-9357","")</f>
        <v>3071-0000-9357</v>
      </c>
      <c r="B6133" s="4" t="s">
        <v>8439</v>
      </c>
      <c r="C6133" s="5">
        <v>41489</v>
      </c>
      <c r="D6133" s="5">
        <v>41549</v>
      </c>
      <c r="E6133" s="4" t="s">
        <v>1410</v>
      </c>
      <c r="F6133" s="4" t="s">
        <v>4459</v>
      </c>
    </row>
    <row r="6134" spans="1:6" x14ac:dyDescent="0.25">
      <c r="A6134" s="4" t="str">
        <f>CONCATENATE("3071-0000-7311","")</f>
        <v>3071-0000-7311</v>
      </c>
      <c r="B6134" s="4" t="s">
        <v>5110</v>
      </c>
      <c r="C6134" s="5">
        <v>41489</v>
      </c>
      <c r="D6134" s="5">
        <v>41549</v>
      </c>
      <c r="E6134" s="4" t="s">
        <v>1410</v>
      </c>
      <c r="F6134" s="4" t="s">
        <v>1410</v>
      </c>
    </row>
    <row r="6135" spans="1:6" x14ac:dyDescent="0.25">
      <c r="A6135" s="4" t="str">
        <f>CONCATENATE("3071-0000-6757","")</f>
        <v>3071-0000-6757</v>
      </c>
      <c r="B6135" s="4" t="s">
        <v>7853</v>
      </c>
      <c r="C6135" s="5">
        <v>41489</v>
      </c>
      <c r="D6135" s="5">
        <v>41549</v>
      </c>
      <c r="E6135" s="4" t="s">
        <v>1410</v>
      </c>
      <c r="F6135" s="4" t="s">
        <v>4655</v>
      </c>
    </row>
    <row r="6136" spans="1:6" x14ac:dyDescent="0.25">
      <c r="A6136" s="4" t="str">
        <f>CONCATENATE("3071-0000-6687","")</f>
        <v>3071-0000-6687</v>
      </c>
      <c r="B6136" s="4" t="s">
        <v>8046</v>
      </c>
      <c r="C6136" s="5">
        <v>41489</v>
      </c>
      <c r="D6136" s="5">
        <v>41549</v>
      </c>
      <c r="E6136" s="4" t="s">
        <v>5185</v>
      </c>
      <c r="F6136" s="4" t="s">
        <v>5185</v>
      </c>
    </row>
    <row r="6137" spans="1:6" x14ac:dyDescent="0.25">
      <c r="A6137" s="4" t="str">
        <f>CONCATENATE("3071-0000-7469","")</f>
        <v>3071-0000-7469</v>
      </c>
      <c r="B6137" s="4" t="s">
        <v>4332</v>
      </c>
      <c r="C6137" s="5">
        <v>41489</v>
      </c>
      <c r="D6137" s="5">
        <v>41549</v>
      </c>
      <c r="E6137" s="4" t="s">
        <v>1410</v>
      </c>
      <c r="F6137" s="4" t="s">
        <v>1410</v>
      </c>
    </row>
    <row r="6138" spans="1:6" x14ac:dyDescent="0.25">
      <c r="A6138" s="4" t="str">
        <f>CONCATENATE("3071-0000-9323","")</f>
        <v>3071-0000-9323</v>
      </c>
      <c r="B6138" s="4" t="s">
        <v>8379</v>
      </c>
      <c r="C6138" s="5">
        <v>41489</v>
      </c>
      <c r="D6138" s="5">
        <v>41549</v>
      </c>
      <c r="E6138" s="4" t="s">
        <v>5185</v>
      </c>
      <c r="F6138" s="4" t="s">
        <v>5185</v>
      </c>
    </row>
    <row r="6139" spans="1:6" x14ac:dyDescent="0.25">
      <c r="A6139" s="4" t="str">
        <f>CONCATENATE("3071-0000-6945","")</f>
        <v>3071-0000-6945</v>
      </c>
      <c r="B6139" s="4" t="s">
        <v>4534</v>
      </c>
      <c r="C6139" s="5">
        <v>41489</v>
      </c>
      <c r="D6139" s="5">
        <v>41549</v>
      </c>
      <c r="E6139" s="4" t="s">
        <v>1410</v>
      </c>
      <c r="F6139" s="4" t="s">
        <v>1410</v>
      </c>
    </row>
    <row r="6140" spans="1:6" x14ac:dyDescent="0.25">
      <c r="A6140" s="4" t="str">
        <f>CONCATENATE("3071-0000-9356","")</f>
        <v>3071-0000-9356</v>
      </c>
      <c r="B6140" s="4" t="s">
        <v>8436</v>
      </c>
      <c r="C6140" s="5">
        <v>41489</v>
      </c>
      <c r="D6140" s="5">
        <v>41549</v>
      </c>
      <c r="E6140" s="4" t="s">
        <v>1410</v>
      </c>
      <c r="F6140" s="4" t="s">
        <v>4459</v>
      </c>
    </row>
    <row r="6141" spans="1:6" x14ac:dyDescent="0.25">
      <c r="A6141" s="4" t="str">
        <f>CONCATENATE("3071-0000-9135","")</f>
        <v>3071-0000-9135</v>
      </c>
      <c r="B6141" s="4" t="s">
        <v>5851</v>
      </c>
      <c r="C6141" s="5">
        <v>41489</v>
      </c>
      <c r="D6141" s="5">
        <v>41549</v>
      </c>
      <c r="E6141" s="4" t="s">
        <v>5185</v>
      </c>
      <c r="F6141" s="4" t="s">
        <v>4188</v>
      </c>
    </row>
    <row r="6142" spans="1:6" x14ac:dyDescent="0.25">
      <c r="A6142" s="4" t="str">
        <f>CONCATENATE("3071-0000-1070","")</f>
        <v>3071-0000-1070</v>
      </c>
      <c r="B6142" s="4" t="s">
        <v>2263</v>
      </c>
      <c r="C6142" s="5">
        <v>41489</v>
      </c>
      <c r="D6142" s="5">
        <v>41549</v>
      </c>
      <c r="E6142" s="4" t="s">
        <v>1857</v>
      </c>
      <c r="F6142" s="4" t="s">
        <v>1857</v>
      </c>
    </row>
    <row r="6143" spans="1:6" x14ac:dyDescent="0.25">
      <c r="A6143" s="4" t="str">
        <f>CONCATENATE("3071-0000-0389","")</f>
        <v>3071-0000-0389</v>
      </c>
      <c r="B6143" s="4" t="s">
        <v>454</v>
      </c>
      <c r="C6143" s="5">
        <v>41489</v>
      </c>
      <c r="D6143" s="5">
        <v>41549</v>
      </c>
      <c r="E6143" s="4" t="s">
        <v>7</v>
      </c>
      <c r="F6143" s="4" t="s">
        <v>7</v>
      </c>
    </row>
    <row r="6144" spans="1:6" x14ac:dyDescent="0.25">
      <c r="A6144" s="4" t="str">
        <f>CONCATENATE("3071-0000-7545","")</f>
        <v>3071-0000-7545</v>
      </c>
      <c r="B6144" s="4" t="s">
        <v>4808</v>
      </c>
      <c r="C6144" s="5">
        <v>41489</v>
      </c>
      <c r="D6144" s="5">
        <v>41549</v>
      </c>
      <c r="E6144" s="4" t="s">
        <v>1410</v>
      </c>
      <c r="F6144" s="4" t="s">
        <v>4655</v>
      </c>
    </row>
    <row r="6145" spans="1:6" x14ac:dyDescent="0.25">
      <c r="A6145" s="4" t="str">
        <f>CONCATENATE("3071-0000-6405","")</f>
        <v>3071-0000-6405</v>
      </c>
      <c r="B6145" s="4" t="s">
        <v>7823</v>
      </c>
      <c r="C6145" s="5">
        <v>41489</v>
      </c>
      <c r="D6145" s="5">
        <v>41549</v>
      </c>
      <c r="E6145" s="4" t="s">
        <v>5185</v>
      </c>
      <c r="F6145" s="4" t="s">
        <v>5185</v>
      </c>
    </row>
    <row r="6146" spans="1:6" x14ac:dyDescent="0.25">
      <c r="A6146" s="4" t="str">
        <f>CONCATENATE("3071-0000-6411","")</f>
        <v>3071-0000-6411</v>
      </c>
      <c r="B6146" s="4" t="s">
        <v>8071</v>
      </c>
      <c r="C6146" s="5">
        <v>41489</v>
      </c>
      <c r="D6146" s="5">
        <v>41549</v>
      </c>
      <c r="E6146" s="4" t="s">
        <v>5185</v>
      </c>
      <c r="F6146" s="4" t="s">
        <v>5185</v>
      </c>
    </row>
    <row r="6147" spans="1:6" x14ac:dyDescent="0.25">
      <c r="A6147" s="4" t="str">
        <f>CONCATENATE("3071-0000-9206","")</f>
        <v>3071-0000-9206</v>
      </c>
      <c r="B6147" s="4" t="s">
        <v>8278</v>
      </c>
      <c r="C6147" s="5">
        <v>41489</v>
      </c>
      <c r="D6147" s="5">
        <v>41549</v>
      </c>
      <c r="E6147" s="4" t="s">
        <v>1410</v>
      </c>
      <c r="F6147" s="4" t="s">
        <v>7967</v>
      </c>
    </row>
    <row r="6148" spans="1:6" x14ac:dyDescent="0.25">
      <c r="A6148" s="4" t="str">
        <f>CONCATENATE("3071-0000-8700","")</f>
        <v>3071-0000-8700</v>
      </c>
      <c r="B6148" s="4" t="s">
        <v>6477</v>
      </c>
      <c r="C6148" s="5">
        <v>41489</v>
      </c>
      <c r="D6148" s="5">
        <v>41549</v>
      </c>
      <c r="E6148" s="4" t="s">
        <v>5185</v>
      </c>
      <c r="F6148" s="4" t="s">
        <v>5292</v>
      </c>
    </row>
    <row r="6149" spans="1:6" x14ac:dyDescent="0.25">
      <c r="A6149" s="4" t="str">
        <f>CONCATENATE("3071-0000-2800","")</f>
        <v>3071-0000-2800</v>
      </c>
      <c r="B6149" s="4" t="s">
        <v>1001</v>
      </c>
      <c r="C6149" s="5">
        <v>41489</v>
      </c>
      <c r="D6149" s="5">
        <v>41549</v>
      </c>
      <c r="E6149" s="4" t="s">
        <v>7</v>
      </c>
      <c r="F6149" s="4" t="s">
        <v>808</v>
      </c>
    </row>
    <row r="6150" spans="1:6" x14ac:dyDescent="0.25">
      <c r="A6150" s="4" t="str">
        <f>CONCATENATE("3071-0000-9211","")</f>
        <v>3071-0000-9211</v>
      </c>
      <c r="B6150" s="4" t="s">
        <v>8276</v>
      </c>
      <c r="C6150" s="5">
        <v>41489</v>
      </c>
      <c r="D6150" s="5">
        <v>41549</v>
      </c>
      <c r="E6150" s="4" t="s">
        <v>5185</v>
      </c>
      <c r="F6150" s="4" t="s">
        <v>5185</v>
      </c>
    </row>
    <row r="6151" spans="1:6" x14ac:dyDescent="0.25">
      <c r="A6151" s="4" t="str">
        <f>CONCATENATE("3071-0000-6655","")</f>
        <v>3071-0000-6655</v>
      </c>
      <c r="B6151" s="4" t="s">
        <v>8245</v>
      </c>
      <c r="C6151" s="5">
        <v>41489</v>
      </c>
      <c r="D6151" s="5">
        <v>41549</v>
      </c>
      <c r="E6151" s="4" t="s">
        <v>5185</v>
      </c>
      <c r="F6151" s="4" t="s">
        <v>5185</v>
      </c>
    </row>
    <row r="6152" spans="1:6" x14ac:dyDescent="0.25">
      <c r="A6152" s="4" t="str">
        <f>CONCATENATE("3071-0000-9438","")</f>
        <v>3071-0000-9438</v>
      </c>
      <c r="B6152" s="4" t="s">
        <v>8432</v>
      </c>
      <c r="C6152" s="5">
        <v>41489</v>
      </c>
      <c r="D6152" s="5">
        <v>41549</v>
      </c>
      <c r="E6152" s="4" t="s">
        <v>1410</v>
      </c>
      <c r="F6152" s="4" t="s">
        <v>7967</v>
      </c>
    </row>
    <row r="6153" spans="1:6" x14ac:dyDescent="0.25">
      <c r="A6153" s="4" t="str">
        <f>CONCATENATE("3071-0000-7713","")</f>
        <v>3071-0000-7713</v>
      </c>
      <c r="B6153" s="4" t="s">
        <v>4752</v>
      </c>
      <c r="C6153" s="5">
        <v>41489</v>
      </c>
      <c r="D6153" s="5">
        <v>41549</v>
      </c>
      <c r="E6153" s="4" t="s">
        <v>1410</v>
      </c>
      <c r="F6153" s="4" t="s">
        <v>4655</v>
      </c>
    </row>
    <row r="6154" spans="1:6" x14ac:dyDescent="0.25">
      <c r="A6154" s="4" t="str">
        <f>CONCATENATE("3071-0000-5852","")</f>
        <v>3071-0000-5852</v>
      </c>
      <c r="B6154" s="4" t="s">
        <v>7389</v>
      </c>
      <c r="C6154" s="5">
        <v>41489</v>
      </c>
      <c r="D6154" s="5">
        <v>41549</v>
      </c>
      <c r="E6154" s="4" t="s">
        <v>5185</v>
      </c>
      <c r="F6154" s="4" t="s">
        <v>5185</v>
      </c>
    </row>
    <row r="6155" spans="1:6" x14ac:dyDescent="0.25">
      <c r="A6155" s="4" t="str">
        <f>CONCATENATE("3071-0000-5834","")</f>
        <v>3071-0000-5834</v>
      </c>
      <c r="B6155" s="4" t="s">
        <v>7331</v>
      </c>
      <c r="C6155" s="5">
        <v>41489</v>
      </c>
      <c r="D6155" s="5">
        <v>41549</v>
      </c>
      <c r="E6155" s="4" t="s">
        <v>5185</v>
      </c>
      <c r="F6155" s="4" t="s">
        <v>5185</v>
      </c>
    </row>
    <row r="6156" spans="1:6" x14ac:dyDescent="0.25">
      <c r="A6156" s="4" t="str">
        <f>CONCATENATE("3071-0000-4796","")</f>
        <v>3071-0000-4796</v>
      </c>
      <c r="B6156" s="4" t="s">
        <v>9543</v>
      </c>
      <c r="C6156" s="5">
        <v>41489</v>
      </c>
      <c r="D6156" s="5">
        <v>41549</v>
      </c>
      <c r="E6156" s="4" t="s">
        <v>1410</v>
      </c>
      <c r="F6156" s="4" t="s">
        <v>8696</v>
      </c>
    </row>
    <row r="6157" spans="1:6" x14ac:dyDescent="0.25">
      <c r="A6157" s="4" t="str">
        <f>CONCATENATE("3071-0000-8600","")</f>
        <v>3071-0000-8600</v>
      </c>
      <c r="B6157" s="4" t="s">
        <v>5456</v>
      </c>
      <c r="C6157" s="5">
        <v>41489</v>
      </c>
      <c r="D6157" s="5">
        <v>41549</v>
      </c>
      <c r="E6157" s="4" t="s">
        <v>1410</v>
      </c>
      <c r="F6157" s="4" t="s">
        <v>4616</v>
      </c>
    </row>
    <row r="6158" spans="1:6" x14ac:dyDescent="0.25">
      <c r="A6158" s="4" t="str">
        <f>CONCATENATE("3071-0000-3429","")</f>
        <v>3071-0000-3429</v>
      </c>
      <c r="B6158" s="4" t="s">
        <v>1698</v>
      </c>
      <c r="C6158" s="5">
        <v>41489</v>
      </c>
      <c r="D6158" s="5">
        <v>41549</v>
      </c>
      <c r="E6158" s="4" t="s">
        <v>1410</v>
      </c>
      <c r="F6158" s="4" t="s">
        <v>1411</v>
      </c>
    </row>
    <row r="6159" spans="1:6" x14ac:dyDescent="0.25">
      <c r="A6159" s="4" t="str">
        <f>CONCATENATE("3071-0000-0613","")</f>
        <v>3071-0000-0613</v>
      </c>
      <c r="B6159" s="4" t="s">
        <v>765</v>
      </c>
      <c r="C6159" s="5">
        <v>41489</v>
      </c>
      <c r="D6159" s="5">
        <v>41549</v>
      </c>
      <c r="E6159" s="4" t="s">
        <v>7</v>
      </c>
      <c r="F6159" s="4" t="s">
        <v>7</v>
      </c>
    </row>
    <row r="6160" spans="1:6" x14ac:dyDescent="0.25">
      <c r="A6160" s="4" t="str">
        <f>CONCATENATE("3071-0000-0943","")</f>
        <v>3071-0000-0943</v>
      </c>
      <c r="B6160" s="4" t="s">
        <v>2106</v>
      </c>
      <c r="C6160" s="5">
        <v>41489</v>
      </c>
      <c r="D6160" s="5">
        <v>41549</v>
      </c>
      <c r="E6160" s="4" t="s">
        <v>1857</v>
      </c>
      <c r="F6160" s="4" t="s">
        <v>1857</v>
      </c>
    </row>
    <row r="6161" spans="1:6" x14ac:dyDescent="0.25">
      <c r="A6161" s="4" t="str">
        <f>CONCATENATE("3071-0000-0797","")</f>
        <v>3071-0000-0797</v>
      </c>
      <c r="B6161" s="4" t="s">
        <v>537</v>
      </c>
      <c r="C6161" s="5">
        <v>41489</v>
      </c>
      <c r="D6161" s="5">
        <v>41549</v>
      </c>
      <c r="E6161" s="4" t="s">
        <v>7</v>
      </c>
      <c r="F6161" s="4" t="s">
        <v>273</v>
      </c>
    </row>
    <row r="6162" spans="1:6" x14ac:dyDescent="0.25">
      <c r="A6162" s="4" t="str">
        <f>CONCATENATE("3071-0000-6964","")</f>
        <v>3071-0000-6964</v>
      </c>
      <c r="B6162" s="4" t="s">
        <v>4437</v>
      </c>
      <c r="C6162" s="5">
        <v>41489</v>
      </c>
      <c r="D6162" s="5">
        <v>41549</v>
      </c>
      <c r="E6162" s="4" t="s">
        <v>1410</v>
      </c>
      <c r="F6162" s="4" t="s">
        <v>1410</v>
      </c>
    </row>
    <row r="6163" spans="1:6" x14ac:dyDescent="0.25">
      <c r="A6163" s="4" t="str">
        <f>CONCATENATE("3071-0000-7495","")</f>
        <v>3071-0000-7495</v>
      </c>
      <c r="B6163" s="4" t="s">
        <v>4582</v>
      </c>
      <c r="C6163" s="5">
        <v>41489</v>
      </c>
      <c r="D6163" s="5">
        <v>41549</v>
      </c>
      <c r="E6163" s="4" t="s">
        <v>1410</v>
      </c>
      <c r="F6163" s="4" t="s">
        <v>1410</v>
      </c>
    </row>
    <row r="6164" spans="1:6" x14ac:dyDescent="0.25">
      <c r="A6164" s="4" t="str">
        <f>CONCATENATE("3071-0000-6971","")</f>
        <v>3071-0000-6971</v>
      </c>
      <c r="B6164" s="4" t="s">
        <v>4469</v>
      </c>
      <c r="C6164" s="5">
        <v>41489</v>
      </c>
      <c r="D6164" s="5">
        <v>41549</v>
      </c>
      <c r="E6164" s="4" t="s">
        <v>1410</v>
      </c>
      <c r="F6164" s="4" t="s">
        <v>1410</v>
      </c>
    </row>
    <row r="6165" spans="1:6" x14ac:dyDescent="0.25">
      <c r="A6165" s="4" t="str">
        <f>CONCATENATE("3071-0000-7074","")</f>
        <v>3071-0000-7074</v>
      </c>
      <c r="B6165" s="4" t="s">
        <v>4717</v>
      </c>
      <c r="C6165" s="5">
        <v>41489</v>
      </c>
      <c r="D6165" s="5">
        <v>41549</v>
      </c>
      <c r="E6165" s="4" t="s">
        <v>1410</v>
      </c>
      <c r="F6165" s="4" t="s">
        <v>1410</v>
      </c>
    </row>
    <row r="6166" spans="1:6" x14ac:dyDescent="0.25">
      <c r="A6166" s="4" t="str">
        <f>CONCATENATE("3071-0000-6212","")</f>
        <v>3071-0000-6212</v>
      </c>
      <c r="B6166" s="4" t="s">
        <v>7182</v>
      </c>
      <c r="C6166" s="5">
        <v>41489</v>
      </c>
      <c r="D6166" s="5">
        <v>41549</v>
      </c>
      <c r="E6166" s="4" t="s">
        <v>7069</v>
      </c>
      <c r="F6166" s="4" t="s">
        <v>7183</v>
      </c>
    </row>
    <row r="6167" spans="1:6" x14ac:dyDescent="0.25">
      <c r="A6167" s="4" t="str">
        <f>CONCATENATE("3071-0000-7069","")</f>
        <v>3071-0000-7069</v>
      </c>
      <c r="B6167" s="4" t="s">
        <v>4832</v>
      </c>
      <c r="C6167" s="5">
        <v>41489</v>
      </c>
      <c r="D6167" s="5">
        <v>41549</v>
      </c>
      <c r="E6167" s="4" t="s">
        <v>1410</v>
      </c>
      <c r="F6167" s="4" t="s">
        <v>1410</v>
      </c>
    </row>
    <row r="6168" spans="1:6" x14ac:dyDescent="0.25">
      <c r="A6168" s="4" t="str">
        <f>CONCATENATE("3071-0000-4298","")</f>
        <v>3071-0000-4298</v>
      </c>
      <c r="B6168" s="4" t="s">
        <v>8909</v>
      </c>
      <c r="C6168" s="5">
        <v>41489</v>
      </c>
      <c r="D6168" s="5">
        <v>41549</v>
      </c>
      <c r="E6168" s="4" t="s">
        <v>1410</v>
      </c>
      <c r="F6168" s="4" t="s">
        <v>8696</v>
      </c>
    </row>
    <row r="6169" spans="1:6" x14ac:dyDescent="0.25">
      <c r="A6169" s="4" t="str">
        <f>CONCATENATE("3071-0000-4904","")</f>
        <v>3071-0000-4904</v>
      </c>
      <c r="B6169" s="4" t="s">
        <v>9494</v>
      </c>
      <c r="C6169" s="5">
        <v>41489</v>
      </c>
      <c r="D6169" s="5">
        <v>41549</v>
      </c>
      <c r="E6169" s="4" t="s">
        <v>7069</v>
      </c>
      <c r="F6169" s="4" t="s">
        <v>9485</v>
      </c>
    </row>
    <row r="6170" spans="1:6" x14ac:dyDescent="0.25">
      <c r="A6170" s="4" t="str">
        <f>CONCATENATE("3071-0000-7448","")</f>
        <v>3071-0000-7448</v>
      </c>
      <c r="B6170" s="4" t="s">
        <v>4794</v>
      </c>
      <c r="C6170" s="5">
        <v>41489</v>
      </c>
      <c r="D6170" s="5">
        <v>41549</v>
      </c>
      <c r="E6170" s="4" t="s">
        <v>1410</v>
      </c>
      <c r="F6170" s="4" t="s">
        <v>4655</v>
      </c>
    </row>
    <row r="6171" spans="1:6" x14ac:dyDescent="0.25">
      <c r="A6171" s="4" t="str">
        <f>CONCATENATE("3071-0000-7127","")</f>
        <v>3071-0000-7127</v>
      </c>
      <c r="B6171" s="4" t="s">
        <v>4795</v>
      </c>
      <c r="C6171" s="5">
        <v>41489</v>
      </c>
      <c r="D6171" s="5">
        <v>41549</v>
      </c>
      <c r="E6171" s="4" t="s">
        <v>1410</v>
      </c>
      <c r="F6171" s="4" t="s">
        <v>1410</v>
      </c>
    </row>
    <row r="6172" spans="1:6" x14ac:dyDescent="0.25">
      <c r="A6172" s="4" t="str">
        <f>CONCATENATE("3071-0000-2114","")</f>
        <v>3071-0000-2114</v>
      </c>
      <c r="B6172" s="4" t="s">
        <v>3037</v>
      </c>
      <c r="C6172" s="5">
        <v>41489</v>
      </c>
      <c r="D6172" s="5">
        <v>41549</v>
      </c>
      <c r="E6172" s="4" t="s">
        <v>2944</v>
      </c>
      <c r="F6172" s="4" t="s">
        <v>2945</v>
      </c>
    </row>
    <row r="6173" spans="1:6" x14ac:dyDescent="0.25">
      <c r="A6173" s="4" t="str">
        <f>CONCATENATE("3071-0000-2977","")</f>
        <v>3071-0000-2977</v>
      </c>
      <c r="B6173" s="4" t="s">
        <v>900</v>
      </c>
      <c r="C6173" s="5">
        <v>41489</v>
      </c>
      <c r="D6173" s="5">
        <v>41549</v>
      </c>
      <c r="E6173" s="4" t="s">
        <v>7</v>
      </c>
      <c r="F6173" s="4" t="s">
        <v>808</v>
      </c>
    </row>
    <row r="6174" spans="1:6" x14ac:dyDescent="0.25">
      <c r="A6174" s="4" t="str">
        <f>CONCATENATE("3071-0000-2848","")</f>
        <v>3071-0000-2848</v>
      </c>
      <c r="B6174" s="4" t="s">
        <v>1183</v>
      </c>
      <c r="C6174" s="5">
        <v>41489</v>
      </c>
      <c r="D6174" s="5">
        <v>41549</v>
      </c>
      <c r="E6174" s="4" t="s">
        <v>7</v>
      </c>
      <c r="F6174" s="4" t="s">
        <v>808</v>
      </c>
    </row>
    <row r="6175" spans="1:6" x14ac:dyDescent="0.25">
      <c r="A6175" s="4" t="str">
        <f>CONCATENATE("3071-0000-2807","")</f>
        <v>3071-0000-2807</v>
      </c>
      <c r="B6175" s="4" t="s">
        <v>1050</v>
      </c>
      <c r="C6175" s="5">
        <v>41489</v>
      </c>
      <c r="D6175" s="5">
        <v>41549</v>
      </c>
      <c r="E6175" s="4" t="s">
        <v>7</v>
      </c>
      <c r="F6175" s="4" t="s">
        <v>808</v>
      </c>
    </row>
    <row r="6176" spans="1:6" x14ac:dyDescent="0.25">
      <c r="A6176" s="4" t="str">
        <f>CONCATENATE("3071-0000-2774","")</f>
        <v>3071-0000-2774</v>
      </c>
      <c r="B6176" s="4" t="s">
        <v>922</v>
      </c>
      <c r="C6176" s="5">
        <v>41489</v>
      </c>
      <c r="D6176" s="5">
        <v>41549</v>
      </c>
      <c r="E6176" s="4" t="s">
        <v>7</v>
      </c>
      <c r="F6176" s="4" t="s">
        <v>808</v>
      </c>
    </row>
    <row r="6177" spans="1:6" x14ac:dyDescent="0.25">
      <c r="A6177" s="4" t="str">
        <f>CONCATENATE("3071-0000-0774","")</f>
        <v>3071-0000-0774</v>
      </c>
      <c r="B6177" s="4" t="s">
        <v>440</v>
      </c>
      <c r="C6177" s="5">
        <v>41489</v>
      </c>
      <c r="D6177" s="5">
        <v>41549</v>
      </c>
      <c r="E6177" s="4" t="s">
        <v>7</v>
      </c>
      <c r="F6177" s="4" t="s">
        <v>7</v>
      </c>
    </row>
    <row r="6178" spans="1:6" x14ac:dyDescent="0.25">
      <c r="A6178" s="4" t="str">
        <f>CONCATENATE("3071-0000-2980","")</f>
        <v>3071-0000-2980</v>
      </c>
      <c r="B6178" s="4" t="s">
        <v>1188</v>
      </c>
      <c r="C6178" s="5">
        <v>41489</v>
      </c>
      <c r="D6178" s="5">
        <v>41549</v>
      </c>
      <c r="E6178" s="4" t="s">
        <v>7</v>
      </c>
      <c r="F6178" s="4" t="s">
        <v>808</v>
      </c>
    </row>
    <row r="6179" spans="1:6" x14ac:dyDescent="0.25">
      <c r="A6179" s="4" t="str">
        <f>CONCATENATE("3071-0000-3295","")</f>
        <v>3071-0000-3295</v>
      </c>
      <c r="B6179" s="4" t="s">
        <v>1112</v>
      </c>
      <c r="C6179" s="5">
        <v>41489</v>
      </c>
      <c r="D6179" s="5">
        <v>41549</v>
      </c>
      <c r="E6179" s="4" t="s">
        <v>7</v>
      </c>
      <c r="F6179" s="4" t="s">
        <v>808</v>
      </c>
    </row>
    <row r="6180" spans="1:6" x14ac:dyDescent="0.25">
      <c r="A6180" s="4" t="str">
        <f>CONCATENATE("3071-0000-3285","")</f>
        <v>3071-0000-3285</v>
      </c>
      <c r="B6180" s="4" t="s">
        <v>1090</v>
      </c>
      <c r="C6180" s="5">
        <v>41489</v>
      </c>
      <c r="D6180" s="5">
        <v>41549</v>
      </c>
      <c r="E6180" s="4" t="s">
        <v>7</v>
      </c>
      <c r="F6180" s="4" t="s">
        <v>808</v>
      </c>
    </row>
    <row r="6181" spans="1:6" x14ac:dyDescent="0.25">
      <c r="A6181" s="4" t="str">
        <f>CONCATENATE("3071-0000-3225","")</f>
        <v>3071-0000-3225</v>
      </c>
      <c r="B6181" s="4" t="s">
        <v>974</v>
      </c>
      <c r="C6181" s="5">
        <v>41489</v>
      </c>
      <c r="D6181" s="5">
        <v>41549</v>
      </c>
      <c r="E6181" s="4" t="s">
        <v>7</v>
      </c>
      <c r="F6181" s="4" t="s">
        <v>808</v>
      </c>
    </row>
    <row r="6182" spans="1:6" x14ac:dyDescent="0.25">
      <c r="A6182" s="4" t="str">
        <f>CONCATENATE("3071-0000-3312","")</f>
        <v>3071-0000-3312</v>
      </c>
      <c r="B6182" s="4" t="s">
        <v>917</v>
      </c>
      <c r="C6182" s="5">
        <v>41489</v>
      </c>
      <c r="D6182" s="5">
        <v>41549</v>
      </c>
      <c r="E6182" s="4" t="s">
        <v>7</v>
      </c>
      <c r="F6182" s="4" t="s">
        <v>808</v>
      </c>
    </row>
    <row r="6183" spans="1:6" x14ac:dyDescent="0.25">
      <c r="A6183" s="4" t="str">
        <f>CONCATENATE("3071-0000-3195","")</f>
        <v>3071-0000-3195</v>
      </c>
      <c r="B6183" s="4" t="s">
        <v>1007</v>
      </c>
      <c r="C6183" s="5">
        <v>41489</v>
      </c>
      <c r="D6183" s="5">
        <v>41549</v>
      </c>
      <c r="E6183" s="4" t="s">
        <v>7</v>
      </c>
      <c r="F6183" s="4" t="s">
        <v>808</v>
      </c>
    </row>
    <row r="6184" spans="1:6" x14ac:dyDescent="0.25">
      <c r="A6184" s="4" t="str">
        <f>CONCATENATE("3071-0000-3286","")</f>
        <v>3071-0000-3286</v>
      </c>
      <c r="B6184" s="4" t="s">
        <v>1008</v>
      </c>
      <c r="C6184" s="5">
        <v>41489</v>
      </c>
      <c r="D6184" s="5">
        <v>41549</v>
      </c>
      <c r="E6184" s="4" t="s">
        <v>7</v>
      </c>
      <c r="F6184" s="4" t="s">
        <v>808</v>
      </c>
    </row>
    <row r="6185" spans="1:6" x14ac:dyDescent="0.25">
      <c r="A6185" s="4" t="str">
        <f>CONCATENATE("3071-0000-2849","")</f>
        <v>3071-0000-2849</v>
      </c>
      <c r="B6185" s="4" t="s">
        <v>1190</v>
      </c>
      <c r="C6185" s="5">
        <v>41489</v>
      </c>
      <c r="D6185" s="5">
        <v>41549</v>
      </c>
      <c r="E6185" s="4" t="s">
        <v>7</v>
      </c>
      <c r="F6185" s="4" t="s">
        <v>808</v>
      </c>
    </row>
    <row r="6186" spans="1:6" x14ac:dyDescent="0.25">
      <c r="A6186" s="4" t="str">
        <f>CONCATENATE("3071-0000-3529","")</f>
        <v>3071-0000-3529</v>
      </c>
      <c r="B6186" s="4" t="s">
        <v>1766</v>
      </c>
      <c r="C6186" s="5">
        <v>41489</v>
      </c>
      <c r="D6186" s="5">
        <v>41549</v>
      </c>
      <c r="E6186" s="4" t="s">
        <v>1410</v>
      </c>
      <c r="F6186" s="4" t="s">
        <v>1411</v>
      </c>
    </row>
    <row r="6187" spans="1:6" x14ac:dyDescent="0.25">
      <c r="A6187" s="4" t="str">
        <f>CONCATENATE("3071-0000-1332","")</f>
        <v>3071-0000-1332</v>
      </c>
      <c r="B6187" s="4" t="s">
        <v>2461</v>
      </c>
      <c r="C6187" s="5">
        <v>41489</v>
      </c>
      <c r="D6187" s="5">
        <v>41549</v>
      </c>
      <c r="E6187" s="4" t="s">
        <v>1381</v>
      </c>
      <c r="F6187" s="4" t="s">
        <v>2303</v>
      </c>
    </row>
    <row r="6188" spans="1:6" x14ac:dyDescent="0.25">
      <c r="A6188" s="4" t="str">
        <f>CONCATENATE("3071-0000-2783","")</f>
        <v>3071-0000-2783</v>
      </c>
      <c r="B6188" s="4" t="s">
        <v>952</v>
      </c>
      <c r="C6188" s="5">
        <v>41489</v>
      </c>
      <c r="D6188" s="5">
        <v>41549</v>
      </c>
      <c r="E6188" s="4" t="s">
        <v>7</v>
      </c>
      <c r="F6188" s="4" t="s">
        <v>808</v>
      </c>
    </row>
    <row r="6189" spans="1:6" x14ac:dyDescent="0.25">
      <c r="A6189" s="4" t="str">
        <f>CONCATENATE("3071-0000-4607","")</f>
        <v>3071-0000-4607</v>
      </c>
      <c r="B6189" s="4" t="s">
        <v>9135</v>
      </c>
      <c r="C6189" s="5">
        <v>41489</v>
      </c>
      <c r="D6189" s="5">
        <v>41549</v>
      </c>
      <c r="E6189" s="4" t="s">
        <v>1410</v>
      </c>
      <c r="F6189" s="4" t="s">
        <v>8696</v>
      </c>
    </row>
    <row r="6190" spans="1:6" x14ac:dyDescent="0.25">
      <c r="A6190" s="4" t="str">
        <f>CONCATENATE("3071-0000-3049","")</f>
        <v>3071-0000-3049</v>
      </c>
      <c r="B6190" s="4" t="s">
        <v>1178</v>
      </c>
      <c r="C6190" s="5">
        <v>41489</v>
      </c>
      <c r="D6190" s="5">
        <v>41549</v>
      </c>
      <c r="E6190" s="4" t="s">
        <v>7</v>
      </c>
      <c r="F6190" s="4" t="s">
        <v>808</v>
      </c>
    </row>
    <row r="6191" spans="1:6" x14ac:dyDescent="0.25">
      <c r="A6191" s="4" t="str">
        <f>CONCATENATE("3071-0000-0465","")</f>
        <v>3071-0000-0465</v>
      </c>
      <c r="B6191" s="4" t="s">
        <v>636</v>
      </c>
      <c r="C6191" s="5">
        <v>41489</v>
      </c>
      <c r="D6191" s="5">
        <v>41549</v>
      </c>
      <c r="E6191" s="4" t="s">
        <v>7</v>
      </c>
      <c r="F6191" s="4" t="s">
        <v>7</v>
      </c>
    </row>
    <row r="6192" spans="1:6" x14ac:dyDescent="0.25">
      <c r="A6192" s="4" t="str">
        <f>CONCATENATE("3071-0000-4820","")</f>
        <v>3071-0000-4820</v>
      </c>
      <c r="B6192" s="4" t="s">
        <v>9130</v>
      </c>
      <c r="C6192" s="5">
        <v>41489</v>
      </c>
      <c r="D6192" s="5">
        <v>41549</v>
      </c>
      <c r="E6192" s="4" t="s">
        <v>1410</v>
      </c>
      <c r="F6192" s="4" t="s">
        <v>8696</v>
      </c>
    </row>
    <row r="6193" spans="1:6" x14ac:dyDescent="0.25">
      <c r="A6193" s="4" t="str">
        <f>CONCATENATE("3071-0000-0771","")</f>
        <v>3071-0000-0771</v>
      </c>
      <c r="B6193" s="4" t="s">
        <v>75</v>
      </c>
      <c r="C6193" s="5">
        <v>41489</v>
      </c>
      <c r="D6193" s="5">
        <v>41549</v>
      </c>
      <c r="E6193" s="4" t="s">
        <v>7</v>
      </c>
      <c r="F6193" s="4" t="s">
        <v>7</v>
      </c>
    </row>
    <row r="6194" spans="1:6" x14ac:dyDescent="0.25">
      <c r="A6194" s="4" t="str">
        <f>CONCATENATE("3071-0000-2126","")</f>
        <v>3071-0000-2126</v>
      </c>
      <c r="B6194" s="4" t="s">
        <v>3527</v>
      </c>
      <c r="C6194" s="5">
        <v>41489</v>
      </c>
      <c r="D6194" s="5">
        <v>41549</v>
      </c>
      <c r="E6194" s="4" t="s">
        <v>2944</v>
      </c>
      <c r="F6194" s="4" t="s">
        <v>2945</v>
      </c>
    </row>
    <row r="6195" spans="1:6" x14ac:dyDescent="0.25">
      <c r="A6195" s="4" t="str">
        <f>CONCATENATE("3071-0000-2474","")</f>
        <v>3071-0000-2474</v>
      </c>
      <c r="B6195" s="4" t="s">
        <v>3640</v>
      </c>
      <c r="C6195" s="5">
        <v>41489</v>
      </c>
      <c r="D6195" s="5">
        <v>41549</v>
      </c>
      <c r="E6195" s="4" t="s">
        <v>2944</v>
      </c>
      <c r="F6195" s="4" t="s">
        <v>3567</v>
      </c>
    </row>
    <row r="6196" spans="1:6" x14ac:dyDescent="0.25">
      <c r="A6196" s="4" t="str">
        <f>CONCATENATE("3071-0000-4228","")</f>
        <v>3071-0000-4228</v>
      </c>
      <c r="B6196" s="4" t="s">
        <v>8707</v>
      </c>
      <c r="C6196" s="5">
        <v>41489</v>
      </c>
      <c r="D6196" s="5">
        <v>41549</v>
      </c>
      <c r="E6196" s="4" t="s">
        <v>1410</v>
      </c>
      <c r="F6196" s="4" t="s">
        <v>8696</v>
      </c>
    </row>
    <row r="6197" spans="1:6" x14ac:dyDescent="0.25">
      <c r="A6197" s="4" t="str">
        <f>CONCATENATE("3071-0000-1659","")</f>
        <v>3071-0000-1659</v>
      </c>
      <c r="B6197" s="4" t="s">
        <v>2328</v>
      </c>
      <c r="C6197" s="5">
        <v>41489</v>
      </c>
      <c r="D6197" s="5">
        <v>41549</v>
      </c>
      <c r="E6197" s="4" t="s">
        <v>1381</v>
      </c>
      <c r="F6197" s="4" t="s">
        <v>2319</v>
      </c>
    </row>
    <row r="6198" spans="1:6" x14ac:dyDescent="0.25">
      <c r="A6198" s="4" t="str">
        <f>CONCATENATE("3071-0000-1264","")</f>
        <v>3071-0000-1264</v>
      </c>
      <c r="B6198" s="4" t="s">
        <v>2356</v>
      </c>
      <c r="C6198" s="5">
        <v>41489</v>
      </c>
      <c r="D6198" s="5">
        <v>41549</v>
      </c>
      <c r="E6198" s="4" t="s">
        <v>1381</v>
      </c>
      <c r="F6198" s="4" t="s">
        <v>2303</v>
      </c>
    </row>
    <row r="6199" spans="1:6" x14ac:dyDescent="0.25">
      <c r="A6199" s="4" t="str">
        <f>CONCATENATE("3071-0000-3826","")</f>
        <v>3071-0000-3826</v>
      </c>
      <c r="B6199" s="4" t="s">
        <v>3877</v>
      </c>
      <c r="C6199" s="5">
        <v>41489</v>
      </c>
      <c r="D6199" s="5">
        <v>41549</v>
      </c>
      <c r="E6199" s="4" t="s">
        <v>2944</v>
      </c>
      <c r="F6199" s="4" t="s">
        <v>3513</v>
      </c>
    </row>
    <row r="6200" spans="1:6" x14ac:dyDescent="0.25">
      <c r="A6200" s="4" t="str">
        <f>CONCATENATE("3071-0000-0984","")</f>
        <v>3071-0000-0984</v>
      </c>
      <c r="B6200" s="4" t="s">
        <v>2192</v>
      </c>
      <c r="C6200" s="5">
        <v>41489</v>
      </c>
      <c r="D6200" s="5">
        <v>41549</v>
      </c>
      <c r="E6200" s="4" t="s">
        <v>1857</v>
      </c>
      <c r="F6200" s="4" t="s">
        <v>1857</v>
      </c>
    </row>
    <row r="6201" spans="1:6" x14ac:dyDescent="0.25">
      <c r="A6201" s="4" t="str">
        <f>CONCATENATE("3071-0000-3828","")</f>
        <v>3071-0000-3828</v>
      </c>
      <c r="B6201" s="4" t="s">
        <v>3879</v>
      </c>
      <c r="C6201" s="5">
        <v>41489</v>
      </c>
      <c r="D6201" s="5">
        <v>41549</v>
      </c>
      <c r="E6201" s="4" t="s">
        <v>2944</v>
      </c>
      <c r="F6201" s="4" t="s">
        <v>3513</v>
      </c>
    </row>
    <row r="6202" spans="1:6" x14ac:dyDescent="0.25">
      <c r="A6202" s="4" t="str">
        <f>CONCATENATE("3071-0000-0093","")</f>
        <v>3071-0000-0093</v>
      </c>
      <c r="B6202" s="4" t="s">
        <v>182</v>
      </c>
      <c r="C6202" s="5">
        <v>41489</v>
      </c>
      <c r="D6202" s="5">
        <v>41549</v>
      </c>
      <c r="E6202" s="4" t="s">
        <v>7</v>
      </c>
      <c r="F6202" s="4" t="s">
        <v>7</v>
      </c>
    </row>
    <row r="6203" spans="1:6" x14ac:dyDescent="0.25">
      <c r="A6203" s="4" t="str">
        <f>CONCATENATE("3071-0000-0936","")</f>
        <v>3071-0000-0936</v>
      </c>
      <c r="B6203" s="4" t="s">
        <v>2099</v>
      </c>
      <c r="C6203" s="5">
        <v>41489</v>
      </c>
      <c r="D6203" s="5">
        <v>41549</v>
      </c>
      <c r="E6203" s="4" t="s">
        <v>1857</v>
      </c>
      <c r="F6203" s="4" t="s">
        <v>1857</v>
      </c>
    </row>
    <row r="6204" spans="1:6" x14ac:dyDescent="0.25">
      <c r="A6204" s="4" t="str">
        <f>CONCATENATE("3071-0000-2022","")</f>
        <v>3071-0000-2022</v>
      </c>
      <c r="B6204" s="4" t="s">
        <v>3363</v>
      </c>
      <c r="C6204" s="5">
        <v>41489</v>
      </c>
      <c r="D6204" s="5">
        <v>41549</v>
      </c>
      <c r="E6204" s="4" t="s">
        <v>2944</v>
      </c>
      <c r="F6204" s="4" t="s">
        <v>2945</v>
      </c>
    </row>
    <row r="6205" spans="1:6" x14ac:dyDescent="0.25">
      <c r="A6205" s="4" t="str">
        <f>CONCATENATE("3071-0000-2369","")</f>
        <v>3071-0000-2369</v>
      </c>
      <c r="B6205" s="4" t="s">
        <v>3318</v>
      </c>
      <c r="C6205" s="5">
        <v>41489</v>
      </c>
      <c r="D6205" s="5">
        <v>41549</v>
      </c>
      <c r="E6205" s="4" t="s">
        <v>2944</v>
      </c>
      <c r="F6205" s="4" t="s">
        <v>3319</v>
      </c>
    </row>
    <row r="6206" spans="1:6" x14ac:dyDescent="0.25">
      <c r="A6206" s="4" t="str">
        <f>CONCATENATE("3071-0000-8555","")</f>
        <v>3071-0000-8555</v>
      </c>
      <c r="B6206" s="4" t="s">
        <v>6133</v>
      </c>
      <c r="C6206" s="5">
        <v>41489</v>
      </c>
      <c r="D6206" s="5">
        <v>41549</v>
      </c>
      <c r="E6206" s="4" t="s">
        <v>5185</v>
      </c>
      <c r="F6206" s="4" t="s">
        <v>5945</v>
      </c>
    </row>
    <row r="6207" spans="1:6" x14ac:dyDescent="0.25">
      <c r="A6207" s="4" t="str">
        <f>CONCATENATE("3071-0000-7031","")</f>
        <v>3071-0000-7031</v>
      </c>
      <c r="B6207" s="4" t="s">
        <v>4827</v>
      </c>
      <c r="C6207" s="5">
        <v>41489</v>
      </c>
      <c r="D6207" s="5">
        <v>41549</v>
      </c>
      <c r="E6207" s="4" t="s">
        <v>1410</v>
      </c>
      <c r="F6207" s="4" t="s">
        <v>1410</v>
      </c>
    </row>
    <row r="6208" spans="1:6" x14ac:dyDescent="0.25">
      <c r="A6208" s="4" t="str">
        <f>CONCATENATE("3071-0000-9226","")</f>
        <v>3071-0000-9226</v>
      </c>
      <c r="B6208" s="4" t="s">
        <v>8339</v>
      </c>
      <c r="C6208" s="5">
        <v>41489</v>
      </c>
      <c r="D6208" s="5">
        <v>41549</v>
      </c>
      <c r="E6208" s="4" t="s">
        <v>5185</v>
      </c>
      <c r="F6208" s="4" t="s">
        <v>5185</v>
      </c>
    </row>
    <row r="6209" spans="1:6" x14ac:dyDescent="0.25">
      <c r="A6209" s="4" t="str">
        <f>CONCATENATE("3071-0000-8180","")</f>
        <v>3071-0000-8180</v>
      </c>
      <c r="B6209" s="4" t="s">
        <v>6014</v>
      </c>
      <c r="C6209" s="5">
        <v>41489</v>
      </c>
      <c r="D6209" s="5">
        <v>41549</v>
      </c>
      <c r="E6209" s="4" t="s">
        <v>5185</v>
      </c>
      <c r="F6209" s="4" t="s">
        <v>5185</v>
      </c>
    </row>
    <row r="6210" spans="1:6" x14ac:dyDescent="0.25">
      <c r="A6210" s="4" t="str">
        <f>CONCATENATE("3071-0000-3246","")</f>
        <v>3071-0000-3246</v>
      </c>
      <c r="B6210" s="4" t="s">
        <v>1213</v>
      </c>
      <c r="C6210" s="5">
        <v>41489</v>
      </c>
      <c r="D6210" s="5">
        <v>41549</v>
      </c>
      <c r="E6210" s="4" t="s">
        <v>7</v>
      </c>
      <c r="F6210" s="4" t="s">
        <v>808</v>
      </c>
    </row>
    <row r="6211" spans="1:6" x14ac:dyDescent="0.25">
      <c r="A6211" s="4" t="str">
        <f>CONCATENATE("3071-0000-7258","")</f>
        <v>3071-0000-7258</v>
      </c>
      <c r="B6211" s="4" t="s">
        <v>4904</v>
      </c>
      <c r="C6211" s="5">
        <v>41489</v>
      </c>
      <c r="D6211" s="5">
        <v>41549</v>
      </c>
      <c r="E6211" s="4" t="s">
        <v>1410</v>
      </c>
      <c r="F6211" s="4" t="s">
        <v>1410</v>
      </c>
    </row>
    <row r="6212" spans="1:6" x14ac:dyDescent="0.25">
      <c r="A6212" s="4" t="str">
        <f>CONCATENATE("3071-0000-1147","")</f>
        <v>3071-0000-1147</v>
      </c>
      <c r="B6212" s="4" t="s">
        <v>2043</v>
      </c>
      <c r="C6212" s="5">
        <v>41489</v>
      </c>
      <c r="D6212" s="5">
        <v>41549</v>
      </c>
      <c r="E6212" s="4" t="s">
        <v>1857</v>
      </c>
      <c r="F6212" s="4" t="s">
        <v>1857</v>
      </c>
    </row>
    <row r="6213" spans="1:6" x14ac:dyDescent="0.25">
      <c r="A6213" s="4" t="str">
        <f>CONCATENATE("3071-0000-8438","")</f>
        <v>3071-0000-8438</v>
      </c>
      <c r="B6213" s="4" t="s">
        <v>5865</v>
      </c>
      <c r="C6213" s="5">
        <v>41489</v>
      </c>
      <c r="D6213" s="5">
        <v>41549</v>
      </c>
      <c r="E6213" s="4" t="s">
        <v>5185</v>
      </c>
      <c r="F6213" s="4" t="s">
        <v>4188</v>
      </c>
    </row>
    <row r="6214" spans="1:6" x14ac:dyDescent="0.25">
      <c r="A6214" s="4" t="str">
        <f>CONCATENATE("3071-0000-3780","")</f>
        <v>3071-0000-3780</v>
      </c>
      <c r="B6214" s="4" t="s">
        <v>3822</v>
      </c>
      <c r="C6214" s="5">
        <v>41489</v>
      </c>
      <c r="D6214" s="5">
        <v>41549</v>
      </c>
      <c r="E6214" s="4" t="s">
        <v>7</v>
      </c>
      <c r="F6214" s="4" t="s">
        <v>3818</v>
      </c>
    </row>
    <row r="6215" spans="1:6" x14ac:dyDescent="0.25">
      <c r="A6215" s="4" t="str">
        <f>CONCATENATE("3071-0000-9455","")</f>
        <v>3071-0000-9455</v>
      </c>
      <c r="B6215" s="4" t="s">
        <v>8518</v>
      </c>
      <c r="C6215" s="5">
        <v>41489</v>
      </c>
      <c r="D6215" s="5">
        <v>41549</v>
      </c>
      <c r="E6215" s="4" t="s">
        <v>1410</v>
      </c>
      <c r="F6215" s="4" t="s">
        <v>4459</v>
      </c>
    </row>
    <row r="6216" spans="1:6" x14ac:dyDescent="0.25">
      <c r="A6216" s="4" t="str">
        <f>CONCATENATE("3071-0000-9301","")</f>
        <v>3071-0000-9301</v>
      </c>
      <c r="B6216" s="4" t="s">
        <v>8345</v>
      </c>
      <c r="C6216" s="5">
        <v>41489</v>
      </c>
      <c r="D6216" s="5">
        <v>41549</v>
      </c>
      <c r="E6216" s="4" t="s">
        <v>5185</v>
      </c>
      <c r="F6216" s="4" t="s">
        <v>5185</v>
      </c>
    </row>
    <row r="6217" spans="1:6" x14ac:dyDescent="0.25">
      <c r="A6217" s="4" t="str">
        <f>CONCATENATE("3071-0000-7051","")</f>
        <v>3071-0000-7051</v>
      </c>
      <c r="B6217" s="4" t="s">
        <v>4835</v>
      </c>
      <c r="C6217" s="5">
        <v>41489</v>
      </c>
      <c r="D6217" s="5">
        <v>41549</v>
      </c>
      <c r="E6217" s="4" t="s">
        <v>1410</v>
      </c>
      <c r="F6217" s="4" t="s">
        <v>1410</v>
      </c>
    </row>
    <row r="6218" spans="1:6" x14ac:dyDescent="0.25">
      <c r="A6218" s="4" t="str">
        <f>CONCATENATE("3071-0000-9115","")</f>
        <v>3071-0000-9115</v>
      </c>
      <c r="B6218" s="4" t="s">
        <v>5307</v>
      </c>
      <c r="C6218" s="5">
        <v>41489</v>
      </c>
      <c r="D6218" s="5">
        <v>41549</v>
      </c>
      <c r="E6218" s="4" t="s">
        <v>5185</v>
      </c>
      <c r="F6218" s="4" t="s">
        <v>5185</v>
      </c>
    </row>
    <row r="6219" spans="1:6" x14ac:dyDescent="0.25">
      <c r="A6219" s="4" t="str">
        <f>CONCATENATE("3071-0000-2930","")</f>
        <v>3071-0000-2930</v>
      </c>
      <c r="B6219" s="4" t="s">
        <v>1347</v>
      </c>
      <c r="C6219" s="5">
        <v>41489</v>
      </c>
      <c r="D6219" s="5">
        <v>41549</v>
      </c>
      <c r="E6219" s="4" t="s">
        <v>7</v>
      </c>
      <c r="F6219" s="4" t="s">
        <v>808</v>
      </c>
    </row>
    <row r="6220" spans="1:6" x14ac:dyDescent="0.25">
      <c r="A6220" s="4" t="str">
        <f>CONCATENATE("3071-0000-7450","")</f>
        <v>3071-0000-7450</v>
      </c>
      <c r="B6220" s="4" t="s">
        <v>4677</v>
      </c>
      <c r="C6220" s="5">
        <v>41489</v>
      </c>
      <c r="D6220" s="5">
        <v>41549</v>
      </c>
      <c r="E6220" s="4" t="s">
        <v>1410</v>
      </c>
      <c r="F6220" s="4" t="s">
        <v>4655</v>
      </c>
    </row>
    <row r="6221" spans="1:6" x14ac:dyDescent="0.25">
      <c r="A6221" s="4" t="str">
        <f>CONCATENATE("3071-0000-9281","")</f>
        <v>3071-0000-9281</v>
      </c>
      <c r="B6221" s="4" t="s">
        <v>8350</v>
      </c>
      <c r="C6221" s="5">
        <v>41489</v>
      </c>
      <c r="D6221" s="5">
        <v>41549</v>
      </c>
      <c r="E6221" s="4" t="s">
        <v>5185</v>
      </c>
      <c r="F6221" s="4" t="s">
        <v>5185</v>
      </c>
    </row>
    <row r="6222" spans="1:6" x14ac:dyDescent="0.25">
      <c r="A6222" s="4" t="str">
        <f>CONCATENATE("3071-0000-8618","")</f>
        <v>3071-0000-8618</v>
      </c>
      <c r="B6222" s="4" t="s">
        <v>5811</v>
      </c>
      <c r="C6222" s="5">
        <v>41489</v>
      </c>
      <c r="D6222" s="5">
        <v>41549</v>
      </c>
      <c r="E6222" s="4" t="s">
        <v>5185</v>
      </c>
      <c r="F6222" s="4" t="s">
        <v>5763</v>
      </c>
    </row>
    <row r="6223" spans="1:6" x14ac:dyDescent="0.25">
      <c r="A6223" s="4" t="str">
        <f>CONCATENATE("3071-0000-5263","")</f>
        <v>3071-0000-5263</v>
      </c>
      <c r="B6223" s="4" t="s">
        <v>6767</v>
      </c>
      <c r="C6223" s="5">
        <v>41489</v>
      </c>
      <c r="D6223" s="5">
        <v>41549</v>
      </c>
      <c r="E6223" s="4" t="s">
        <v>5185</v>
      </c>
      <c r="F6223" s="4" t="s">
        <v>5185</v>
      </c>
    </row>
    <row r="6224" spans="1:6" x14ac:dyDescent="0.25">
      <c r="A6224" s="4" t="str">
        <f>CONCATENATE("3071-0000-7804","")</f>
        <v>3071-0000-7804</v>
      </c>
      <c r="B6224" s="4" t="s">
        <v>5841</v>
      </c>
      <c r="C6224" s="5">
        <v>41489</v>
      </c>
      <c r="D6224" s="5">
        <v>41549</v>
      </c>
      <c r="E6224" s="4" t="s">
        <v>5185</v>
      </c>
      <c r="F6224" s="4" t="s">
        <v>5185</v>
      </c>
    </row>
    <row r="6225" spans="1:6" x14ac:dyDescent="0.25">
      <c r="A6225" s="4" t="str">
        <f>CONCATENATE("3071-0000-9590","")</f>
        <v>3071-0000-9590</v>
      </c>
      <c r="B6225" s="4" t="s">
        <v>8422</v>
      </c>
      <c r="C6225" s="5">
        <v>41489</v>
      </c>
      <c r="D6225" s="5">
        <v>41549</v>
      </c>
      <c r="E6225" s="4" t="s">
        <v>1410</v>
      </c>
      <c r="F6225" s="4" t="s">
        <v>4459</v>
      </c>
    </row>
    <row r="6226" spans="1:6" x14ac:dyDescent="0.25">
      <c r="A6226" s="4" t="str">
        <f>CONCATENATE("3071-0000-9593","")</f>
        <v>3071-0000-9593</v>
      </c>
      <c r="B6226" s="4" t="s">
        <v>8421</v>
      </c>
      <c r="C6226" s="5">
        <v>41489</v>
      </c>
      <c r="D6226" s="5">
        <v>41549</v>
      </c>
      <c r="E6226" s="4" t="s">
        <v>1410</v>
      </c>
      <c r="F6226" s="4" t="s">
        <v>4459</v>
      </c>
    </row>
    <row r="6227" spans="1:6" x14ac:dyDescent="0.25">
      <c r="A6227" s="4" t="str">
        <f>CONCATENATE("3071-0000-7345","")</f>
        <v>3071-0000-7345</v>
      </c>
      <c r="B6227" s="4" t="s">
        <v>5012</v>
      </c>
      <c r="C6227" s="5">
        <v>41489</v>
      </c>
      <c r="D6227" s="5">
        <v>41549</v>
      </c>
      <c r="E6227" s="4" t="s">
        <v>1410</v>
      </c>
      <c r="F6227" s="4" t="s">
        <v>1410</v>
      </c>
    </row>
    <row r="6228" spans="1:6" x14ac:dyDescent="0.25">
      <c r="A6228" s="4" t="str">
        <f>CONCATENATE("3071-0000-6732","")</f>
        <v>3071-0000-6732</v>
      </c>
      <c r="B6228" s="4" t="s">
        <v>8111</v>
      </c>
      <c r="C6228" s="5">
        <v>41489</v>
      </c>
      <c r="D6228" s="5">
        <v>41549</v>
      </c>
      <c r="E6228" s="4" t="s">
        <v>5185</v>
      </c>
      <c r="F6228" s="4" t="s">
        <v>5185</v>
      </c>
    </row>
    <row r="6229" spans="1:6" x14ac:dyDescent="0.25">
      <c r="A6229" s="4" t="str">
        <f>CONCATENATE("3071-0000-4421","")</f>
        <v>3071-0000-4421</v>
      </c>
      <c r="B6229" s="4" t="s">
        <v>9287</v>
      </c>
      <c r="C6229" s="5">
        <v>41489</v>
      </c>
      <c r="D6229" s="5">
        <v>41549</v>
      </c>
      <c r="E6229" s="4" t="s">
        <v>1410</v>
      </c>
      <c r="F6229" s="4" t="s">
        <v>8696</v>
      </c>
    </row>
    <row r="6230" spans="1:6" x14ac:dyDescent="0.25">
      <c r="A6230" s="4" t="str">
        <f>CONCATENATE("3071-0000-2928","")</f>
        <v>3071-0000-2928</v>
      </c>
      <c r="B6230" s="4" t="s">
        <v>1346</v>
      </c>
      <c r="C6230" s="5">
        <v>41489</v>
      </c>
      <c r="D6230" s="5">
        <v>41549</v>
      </c>
      <c r="E6230" s="4" t="s">
        <v>7</v>
      </c>
      <c r="F6230" s="4" t="s">
        <v>808</v>
      </c>
    </row>
    <row r="6231" spans="1:6" x14ac:dyDescent="0.25">
      <c r="A6231" s="4" t="str">
        <f>CONCATENATE("3071-0000-8583","")</f>
        <v>3071-0000-8583</v>
      </c>
      <c r="B6231" s="4" t="s">
        <v>6037</v>
      </c>
      <c r="C6231" s="5">
        <v>41489</v>
      </c>
      <c r="D6231" s="5">
        <v>41549</v>
      </c>
      <c r="E6231" s="4" t="s">
        <v>5185</v>
      </c>
      <c r="F6231" s="4" t="s">
        <v>5945</v>
      </c>
    </row>
    <row r="6232" spans="1:6" x14ac:dyDescent="0.25">
      <c r="A6232" s="4" t="str">
        <f>CONCATENATE("3071-0000-9067","")</f>
        <v>3071-0000-9067</v>
      </c>
      <c r="B6232" s="4" t="s">
        <v>5938</v>
      </c>
      <c r="C6232" s="5">
        <v>41489</v>
      </c>
      <c r="D6232" s="5">
        <v>41549</v>
      </c>
      <c r="E6232" s="4" t="s">
        <v>5185</v>
      </c>
      <c r="F6232" s="4" t="s">
        <v>4188</v>
      </c>
    </row>
    <row r="6233" spans="1:6" x14ac:dyDescent="0.25">
      <c r="A6233" s="4" t="str">
        <f>CONCATENATE("3071-0000-4733","")</f>
        <v>3071-0000-4733</v>
      </c>
      <c r="B6233" s="4" t="s">
        <v>9653</v>
      </c>
      <c r="C6233" s="5">
        <v>41489</v>
      </c>
      <c r="D6233" s="5">
        <v>41549</v>
      </c>
      <c r="E6233" s="4" t="s">
        <v>1410</v>
      </c>
      <c r="F6233" s="4" t="s">
        <v>8696</v>
      </c>
    </row>
    <row r="6234" spans="1:6" x14ac:dyDescent="0.25">
      <c r="A6234" s="4" t="str">
        <f>CONCATENATE("3071-0000-2390","")</f>
        <v>3071-0000-2390</v>
      </c>
      <c r="B6234" s="4" t="s">
        <v>3786</v>
      </c>
      <c r="C6234" s="5">
        <v>41489</v>
      </c>
      <c r="D6234" s="5">
        <v>41549</v>
      </c>
      <c r="E6234" s="4" t="s">
        <v>2944</v>
      </c>
      <c r="F6234" s="4" t="s">
        <v>3115</v>
      </c>
    </row>
    <row r="6235" spans="1:6" x14ac:dyDescent="0.25">
      <c r="A6235" s="4" t="str">
        <f>CONCATENATE("3071-0000-1998","")</f>
        <v>3071-0000-1998</v>
      </c>
      <c r="B6235" s="4" t="s">
        <v>3145</v>
      </c>
      <c r="C6235" s="5">
        <v>41489</v>
      </c>
      <c r="D6235" s="5">
        <v>41549</v>
      </c>
      <c r="E6235" s="4" t="s">
        <v>2944</v>
      </c>
      <c r="F6235" s="4" t="s">
        <v>2945</v>
      </c>
    </row>
    <row r="6236" spans="1:6" x14ac:dyDescent="0.25">
      <c r="A6236" s="4" t="str">
        <f>CONCATENATE("3071-0000-2001","")</f>
        <v>3071-0000-2001</v>
      </c>
      <c r="B6236" s="4" t="s">
        <v>3149</v>
      </c>
      <c r="C6236" s="5">
        <v>41489</v>
      </c>
      <c r="D6236" s="5">
        <v>41549</v>
      </c>
      <c r="E6236" s="4" t="s">
        <v>2944</v>
      </c>
      <c r="F6236" s="4" t="s">
        <v>2945</v>
      </c>
    </row>
    <row r="6237" spans="1:6" x14ac:dyDescent="0.25">
      <c r="A6237" s="4" t="str">
        <f>CONCATENATE("3071-0000-9623","")</f>
        <v>3071-0000-9623</v>
      </c>
      <c r="B6237" s="4" t="s">
        <v>8380</v>
      </c>
      <c r="C6237" s="5">
        <v>41489</v>
      </c>
      <c r="D6237" s="5">
        <v>41549</v>
      </c>
      <c r="E6237" s="4" t="s">
        <v>1410</v>
      </c>
      <c r="F6237" s="4" t="s">
        <v>4459</v>
      </c>
    </row>
    <row r="6238" spans="1:6" x14ac:dyDescent="0.25">
      <c r="A6238" s="4" t="str">
        <f>CONCATENATE("3071-0000-8338","")</f>
        <v>3071-0000-8338</v>
      </c>
      <c r="B6238" s="4" t="s">
        <v>5570</v>
      </c>
      <c r="C6238" s="5">
        <v>41489</v>
      </c>
      <c r="D6238" s="5">
        <v>41549</v>
      </c>
      <c r="E6238" s="4" t="s">
        <v>5185</v>
      </c>
      <c r="F6238" s="4" t="s">
        <v>5185</v>
      </c>
    </row>
    <row r="6239" spans="1:6" x14ac:dyDescent="0.25">
      <c r="A6239" s="4" t="str">
        <f>CONCATENATE("3071-0000-7032","")</f>
        <v>3071-0000-7032</v>
      </c>
      <c r="B6239" s="4" t="s">
        <v>4828</v>
      </c>
      <c r="C6239" s="5">
        <v>41489</v>
      </c>
      <c r="D6239" s="5">
        <v>41549</v>
      </c>
      <c r="E6239" s="4" t="s">
        <v>1410</v>
      </c>
      <c r="F6239" s="4" t="s">
        <v>1410</v>
      </c>
    </row>
    <row r="6240" spans="1:6" x14ac:dyDescent="0.25">
      <c r="A6240" s="4" t="str">
        <f>CONCATENATE("3071-0000-7824","")</f>
        <v>3071-0000-7824</v>
      </c>
      <c r="B6240" s="4" t="s">
        <v>5537</v>
      </c>
      <c r="C6240" s="5">
        <v>41489</v>
      </c>
      <c r="D6240" s="5">
        <v>41549</v>
      </c>
      <c r="E6240" s="4" t="s">
        <v>5185</v>
      </c>
      <c r="F6240" s="4" t="s">
        <v>5185</v>
      </c>
    </row>
    <row r="6241" spans="1:6" x14ac:dyDescent="0.25">
      <c r="A6241" s="4" t="str">
        <f>CONCATENATE("3071-0000-9376","")</f>
        <v>3071-0000-9376</v>
      </c>
      <c r="B6241" s="4" t="s">
        <v>8382</v>
      </c>
      <c r="C6241" s="5">
        <v>41489</v>
      </c>
      <c r="D6241" s="5">
        <v>41549</v>
      </c>
      <c r="E6241" s="4" t="s">
        <v>1410</v>
      </c>
      <c r="F6241" s="4" t="s">
        <v>4459</v>
      </c>
    </row>
    <row r="6242" spans="1:6" x14ac:dyDescent="0.25">
      <c r="A6242" s="4" t="str">
        <f>CONCATENATE("3071-0000-0890","")</f>
        <v>3071-0000-0890</v>
      </c>
      <c r="B6242" s="4" t="s">
        <v>2037</v>
      </c>
      <c r="C6242" s="5">
        <v>41489</v>
      </c>
      <c r="D6242" s="5">
        <v>41549</v>
      </c>
      <c r="E6242" s="4" t="s">
        <v>1857</v>
      </c>
      <c r="F6242" s="4" t="s">
        <v>1857</v>
      </c>
    </row>
    <row r="6243" spans="1:6" x14ac:dyDescent="0.25">
      <c r="A6243" s="4" t="str">
        <f>CONCATENATE("3071-0000-4992","")</f>
        <v>3071-0000-4992</v>
      </c>
      <c r="B6243" s="4" t="s">
        <v>9463</v>
      </c>
      <c r="C6243" s="5">
        <v>41489</v>
      </c>
      <c r="D6243" s="5">
        <v>41549</v>
      </c>
      <c r="E6243" s="4" t="s">
        <v>7069</v>
      </c>
      <c r="F6243" s="4" t="s">
        <v>9210</v>
      </c>
    </row>
    <row r="6244" spans="1:6" x14ac:dyDescent="0.25">
      <c r="A6244" s="4" t="str">
        <f>CONCATENATE("3071-0000-6273","")</f>
        <v>3071-0000-6273</v>
      </c>
      <c r="B6244" s="4" t="s">
        <v>7074</v>
      </c>
      <c r="C6244" s="5">
        <v>41489</v>
      </c>
      <c r="D6244" s="5">
        <v>41549</v>
      </c>
      <c r="E6244" s="4" t="s">
        <v>7069</v>
      </c>
      <c r="F6244" s="4" t="s">
        <v>7070</v>
      </c>
    </row>
    <row r="6245" spans="1:6" x14ac:dyDescent="0.25">
      <c r="A6245" s="4" t="str">
        <f>CONCATENATE("3071-0000-5607","")</f>
        <v>3071-0000-5607</v>
      </c>
      <c r="B6245" s="4" t="s">
        <v>7165</v>
      </c>
      <c r="C6245" s="5">
        <v>41489</v>
      </c>
      <c r="D6245" s="5">
        <v>41549</v>
      </c>
      <c r="E6245" s="4" t="s">
        <v>5185</v>
      </c>
      <c r="F6245" s="4" t="s">
        <v>5185</v>
      </c>
    </row>
    <row r="6246" spans="1:6" x14ac:dyDescent="0.25">
      <c r="A6246" s="4" t="str">
        <f>CONCATENATE("3071-0000-5606","")</f>
        <v>3071-0000-5606</v>
      </c>
      <c r="B6246" s="4" t="s">
        <v>7164</v>
      </c>
      <c r="C6246" s="5">
        <v>41489</v>
      </c>
      <c r="D6246" s="5">
        <v>41549</v>
      </c>
      <c r="E6246" s="4" t="s">
        <v>5185</v>
      </c>
      <c r="F6246" s="4" t="s">
        <v>5185</v>
      </c>
    </row>
    <row r="6247" spans="1:6" x14ac:dyDescent="0.25">
      <c r="A6247" s="4" t="str">
        <f>CONCATENATE("3071-0000-7422","")</f>
        <v>3071-0000-7422</v>
      </c>
      <c r="B6247" s="4" t="s">
        <v>5117</v>
      </c>
      <c r="C6247" s="5">
        <v>41489</v>
      </c>
      <c r="D6247" s="5">
        <v>41549</v>
      </c>
      <c r="E6247" s="4" t="s">
        <v>1410</v>
      </c>
      <c r="F6247" s="4" t="s">
        <v>1410</v>
      </c>
    </row>
    <row r="6248" spans="1:6" x14ac:dyDescent="0.25">
      <c r="A6248" s="4" t="str">
        <f>CONCATENATE("3071-0000-5184","")</f>
        <v>3071-0000-5184</v>
      </c>
      <c r="B6248" s="4" t="s">
        <v>9405</v>
      </c>
      <c r="C6248" s="5">
        <v>41489</v>
      </c>
      <c r="D6248" s="5">
        <v>41549</v>
      </c>
      <c r="E6248" s="4" t="s">
        <v>7069</v>
      </c>
      <c r="F6248" s="4" t="s">
        <v>9210</v>
      </c>
    </row>
    <row r="6249" spans="1:6" x14ac:dyDescent="0.25">
      <c r="A6249" s="4" t="str">
        <f>CONCATENATE("3071-0000-6283","")</f>
        <v>3071-0000-6283</v>
      </c>
      <c r="B6249" s="4" t="s">
        <v>7102</v>
      </c>
      <c r="C6249" s="5">
        <v>41489</v>
      </c>
      <c r="D6249" s="5">
        <v>41549</v>
      </c>
      <c r="E6249" s="4" t="s">
        <v>7069</v>
      </c>
      <c r="F6249" s="4" t="s">
        <v>7070</v>
      </c>
    </row>
    <row r="6250" spans="1:6" x14ac:dyDescent="0.25">
      <c r="A6250" s="4" t="str">
        <f>CONCATENATE("3071-0000-6294","")</f>
        <v>3071-0000-6294</v>
      </c>
      <c r="B6250" s="4" t="s">
        <v>7105</v>
      </c>
      <c r="C6250" s="5">
        <v>41489</v>
      </c>
      <c r="D6250" s="5">
        <v>41549</v>
      </c>
      <c r="E6250" s="4" t="s">
        <v>7069</v>
      </c>
      <c r="F6250" s="4" t="s">
        <v>7070</v>
      </c>
    </row>
    <row r="6251" spans="1:6" x14ac:dyDescent="0.25">
      <c r="A6251" s="4" t="str">
        <f>CONCATENATE("3071-0000-6296","")</f>
        <v>3071-0000-6296</v>
      </c>
      <c r="B6251" s="4" t="s">
        <v>7106</v>
      </c>
      <c r="C6251" s="5">
        <v>41489</v>
      </c>
      <c r="D6251" s="5">
        <v>41549</v>
      </c>
      <c r="E6251" s="4" t="s">
        <v>7069</v>
      </c>
      <c r="F6251" s="4" t="s">
        <v>7070</v>
      </c>
    </row>
    <row r="6252" spans="1:6" x14ac:dyDescent="0.25">
      <c r="A6252" s="4" t="str">
        <f>CONCATENATE("3071-0000-6308","")</f>
        <v>3071-0000-6308</v>
      </c>
      <c r="B6252" s="4" t="s">
        <v>7084</v>
      </c>
      <c r="C6252" s="5">
        <v>41489</v>
      </c>
      <c r="D6252" s="5">
        <v>41549</v>
      </c>
      <c r="E6252" s="4" t="s">
        <v>7069</v>
      </c>
      <c r="F6252" s="4" t="s">
        <v>7070</v>
      </c>
    </row>
    <row r="6253" spans="1:6" x14ac:dyDescent="0.25">
      <c r="A6253" s="4" t="str">
        <f>CONCATENATE("3071-0000-8171","")</f>
        <v>3071-0000-8171</v>
      </c>
      <c r="B6253" s="4" t="s">
        <v>5231</v>
      </c>
      <c r="C6253" s="5">
        <v>41489</v>
      </c>
      <c r="D6253" s="5">
        <v>41549</v>
      </c>
      <c r="E6253" s="4" t="s">
        <v>5185</v>
      </c>
      <c r="F6253" s="4" t="s">
        <v>5185</v>
      </c>
    </row>
    <row r="6254" spans="1:6" x14ac:dyDescent="0.25">
      <c r="A6254" s="4" t="str">
        <f>CONCATENATE("3071-0000-3131","")</f>
        <v>3071-0000-3131</v>
      </c>
      <c r="B6254" s="4" t="s">
        <v>1022</v>
      </c>
      <c r="C6254" s="5">
        <v>41489</v>
      </c>
      <c r="D6254" s="5">
        <v>41549</v>
      </c>
      <c r="E6254" s="4" t="s">
        <v>7</v>
      </c>
      <c r="F6254" s="4" t="s">
        <v>808</v>
      </c>
    </row>
    <row r="6255" spans="1:6" x14ac:dyDescent="0.25">
      <c r="A6255" s="4" t="str">
        <f>CONCATENATE("3071-0000-0663","")</f>
        <v>3071-0000-0663</v>
      </c>
      <c r="B6255" s="4" t="s">
        <v>806</v>
      </c>
      <c r="C6255" s="5">
        <v>41489</v>
      </c>
      <c r="D6255" s="5">
        <v>41549</v>
      </c>
      <c r="E6255" s="4" t="s">
        <v>7</v>
      </c>
      <c r="F6255" s="4" t="s">
        <v>7</v>
      </c>
    </row>
    <row r="6256" spans="1:6" x14ac:dyDescent="0.25">
      <c r="A6256" s="4" t="str">
        <f>CONCATENATE("3071-0000-3512","")</f>
        <v>3071-0000-3512</v>
      </c>
      <c r="B6256" s="4" t="s">
        <v>1832</v>
      </c>
      <c r="C6256" s="5">
        <v>41489</v>
      </c>
      <c r="D6256" s="5">
        <v>41549</v>
      </c>
      <c r="E6256" s="4" t="s">
        <v>1410</v>
      </c>
      <c r="F6256" s="4" t="s">
        <v>1411</v>
      </c>
    </row>
    <row r="6257" spans="1:6" x14ac:dyDescent="0.25">
      <c r="A6257" s="4" t="str">
        <f>CONCATENATE("3071-0000-5345","")</f>
        <v>3071-0000-5345</v>
      </c>
      <c r="B6257" s="4" t="s">
        <v>6844</v>
      </c>
      <c r="C6257" s="5">
        <v>41489</v>
      </c>
      <c r="D6257" s="5">
        <v>41549</v>
      </c>
      <c r="E6257" s="4" t="s">
        <v>5185</v>
      </c>
      <c r="F6257" s="4" t="s">
        <v>5185</v>
      </c>
    </row>
    <row r="6258" spans="1:6" x14ac:dyDescent="0.25">
      <c r="A6258" s="4" t="str">
        <f>CONCATENATE("3071-0000-3609","")</f>
        <v>3071-0000-3609</v>
      </c>
      <c r="B6258" s="4" t="s">
        <v>1450</v>
      </c>
      <c r="C6258" s="5">
        <v>41489</v>
      </c>
      <c r="D6258" s="5">
        <v>41549</v>
      </c>
      <c r="E6258" s="4" t="s">
        <v>1410</v>
      </c>
      <c r="F6258" s="4" t="s">
        <v>1411</v>
      </c>
    </row>
    <row r="6259" spans="1:6" x14ac:dyDescent="0.25">
      <c r="A6259" s="4" t="str">
        <f>CONCATENATE("3071-0000-9488","")</f>
        <v>3071-0000-9488</v>
      </c>
      <c r="B6259" s="4" t="s">
        <v>8593</v>
      </c>
      <c r="C6259" s="5">
        <v>41489</v>
      </c>
      <c r="D6259" s="5">
        <v>41549</v>
      </c>
      <c r="E6259" s="4" t="s">
        <v>1410</v>
      </c>
      <c r="F6259" s="4" t="s">
        <v>4459</v>
      </c>
    </row>
    <row r="6260" spans="1:6" x14ac:dyDescent="0.25">
      <c r="A6260" s="4" t="str">
        <f>CONCATENATE("3071-0000-6579","")</f>
        <v>3071-0000-6579</v>
      </c>
      <c r="B6260" s="4" t="s">
        <v>8202</v>
      </c>
      <c r="C6260" s="5">
        <v>41489</v>
      </c>
      <c r="D6260" s="5">
        <v>41549</v>
      </c>
      <c r="E6260" s="4" t="s">
        <v>5185</v>
      </c>
      <c r="F6260" s="4" t="s">
        <v>5185</v>
      </c>
    </row>
    <row r="6261" spans="1:6" x14ac:dyDescent="0.25">
      <c r="A6261" s="4" t="str">
        <f>CONCATENATE("3071-0000-0461","")</f>
        <v>3071-0000-0461</v>
      </c>
      <c r="B6261" s="4" t="s">
        <v>406</v>
      </c>
      <c r="C6261" s="5">
        <v>41489</v>
      </c>
      <c r="D6261" s="5">
        <v>41549</v>
      </c>
      <c r="E6261" s="4" t="s">
        <v>7</v>
      </c>
      <c r="F6261" s="4" t="s">
        <v>7</v>
      </c>
    </row>
    <row r="6262" spans="1:6" x14ac:dyDescent="0.25">
      <c r="A6262" s="4" t="str">
        <f>CONCATENATE("3071-0000-6454","")</f>
        <v>3071-0000-6454</v>
      </c>
      <c r="B6262" s="4" t="s">
        <v>8094</v>
      </c>
      <c r="C6262" s="5">
        <v>41489</v>
      </c>
      <c r="D6262" s="5">
        <v>41549</v>
      </c>
      <c r="E6262" s="4" t="s">
        <v>5185</v>
      </c>
      <c r="F6262" s="4" t="s">
        <v>5185</v>
      </c>
    </row>
    <row r="6263" spans="1:6" x14ac:dyDescent="0.25">
      <c r="A6263" s="4" t="str">
        <f>CONCATENATE("3071-0000-7148","")</f>
        <v>3071-0000-7148</v>
      </c>
      <c r="B6263" s="4" t="s">
        <v>4998</v>
      </c>
      <c r="C6263" s="5">
        <v>41489</v>
      </c>
      <c r="D6263" s="5">
        <v>41549</v>
      </c>
      <c r="E6263" s="4" t="s">
        <v>1410</v>
      </c>
      <c r="F6263" s="4" t="s">
        <v>1410</v>
      </c>
    </row>
    <row r="6264" spans="1:6" x14ac:dyDescent="0.25">
      <c r="A6264" s="4" t="str">
        <f>CONCATENATE("3071-0000-2557","")</f>
        <v>3071-0000-2557</v>
      </c>
      <c r="B6264" s="4" t="s">
        <v>3690</v>
      </c>
      <c r="C6264" s="5">
        <v>41489</v>
      </c>
      <c r="D6264" s="5">
        <v>41549</v>
      </c>
      <c r="E6264" s="4" t="s">
        <v>2944</v>
      </c>
      <c r="F6264" s="4" t="s">
        <v>3164</v>
      </c>
    </row>
    <row r="6265" spans="1:6" x14ac:dyDescent="0.25">
      <c r="A6265" s="4" t="str">
        <f>CONCATENATE("3071-0000-0816","")</f>
        <v>3071-0000-0816</v>
      </c>
      <c r="B6265" s="4" t="s">
        <v>1876</v>
      </c>
      <c r="C6265" s="5">
        <v>41489</v>
      </c>
      <c r="D6265" s="5">
        <v>41549</v>
      </c>
      <c r="E6265" s="4" t="s">
        <v>1857</v>
      </c>
      <c r="F6265" s="4" t="s">
        <v>1857</v>
      </c>
    </row>
    <row r="6266" spans="1:6" x14ac:dyDescent="0.25">
      <c r="A6266" s="4" t="str">
        <f>CONCATENATE("3071-0000-4164","")</f>
        <v>3071-0000-4164</v>
      </c>
      <c r="B6266" s="4" t="s">
        <v>4237</v>
      </c>
      <c r="C6266" s="5">
        <v>41489</v>
      </c>
      <c r="D6266" s="5">
        <v>41549</v>
      </c>
      <c r="E6266" s="4" t="s">
        <v>7</v>
      </c>
      <c r="F6266" s="4" t="s">
        <v>3813</v>
      </c>
    </row>
    <row r="6267" spans="1:6" x14ac:dyDescent="0.25">
      <c r="A6267" s="4" t="str">
        <f>CONCATENATE("3071-0000-9329","")</f>
        <v>3071-0000-9329</v>
      </c>
      <c r="B6267" s="4" t="s">
        <v>8597</v>
      </c>
      <c r="C6267" s="5">
        <v>41489</v>
      </c>
      <c r="D6267" s="5">
        <v>41549</v>
      </c>
      <c r="E6267" s="4" t="s">
        <v>5185</v>
      </c>
      <c r="F6267" s="4" t="s">
        <v>5185</v>
      </c>
    </row>
    <row r="6268" spans="1:6" x14ac:dyDescent="0.25">
      <c r="A6268" s="4" t="str">
        <f>CONCATENATE("3071-0000-4001","")</f>
        <v>3071-0000-4001</v>
      </c>
      <c r="B6268" s="4" t="s">
        <v>4197</v>
      </c>
      <c r="C6268" s="5">
        <v>41489</v>
      </c>
      <c r="D6268" s="5">
        <v>41549</v>
      </c>
      <c r="E6268" s="4" t="s">
        <v>2944</v>
      </c>
      <c r="F6268" s="4" t="s">
        <v>3513</v>
      </c>
    </row>
    <row r="6269" spans="1:6" x14ac:dyDescent="0.25">
      <c r="A6269" s="4" t="str">
        <f>CONCATENATE("3071-0000-6447","")</f>
        <v>3071-0000-6447</v>
      </c>
      <c r="B6269" s="4" t="s">
        <v>8087</v>
      </c>
      <c r="C6269" s="5">
        <v>41489</v>
      </c>
      <c r="D6269" s="5">
        <v>41549</v>
      </c>
      <c r="E6269" s="4" t="s">
        <v>5185</v>
      </c>
      <c r="F6269" s="4" t="s">
        <v>5185</v>
      </c>
    </row>
    <row r="6270" spans="1:6" x14ac:dyDescent="0.25">
      <c r="A6270" s="4" t="str">
        <f>CONCATENATE("3071-0000-4145","")</f>
        <v>3071-0000-4145</v>
      </c>
      <c r="B6270" s="4" t="s">
        <v>4048</v>
      </c>
      <c r="C6270" s="5">
        <v>41489</v>
      </c>
      <c r="D6270" s="5">
        <v>41549</v>
      </c>
      <c r="E6270" s="4" t="s">
        <v>1381</v>
      </c>
      <c r="F6270" s="4" t="s">
        <v>4044</v>
      </c>
    </row>
    <row r="6271" spans="1:6" x14ac:dyDescent="0.25">
      <c r="A6271" s="4" t="str">
        <f>CONCATENATE("3071-0000-1818","")</f>
        <v>3071-0000-1818</v>
      </c>
      <c r="B6271" s="4" t="s">
        <v>2519</v>
      </c>
      <c r="C6271" s="5">
        <v>41489</v>
      </c>
      <c r="D6271" s="5">
        <v>41549</v>
      </c>
      <c r="E6271" s="4" t="s">
        <v>1381</v>
      </c>
      <c r="F6271" s="4" t="s">
        <v>2303</v>
      </c>
    </row>
    <row r="6272" spans="1:6" x14ac:dyDescent="0.25">
      <c r="A6272" s="4" t="str">
        <f>CONCATENATE("3071-0000-9498","")</f>
        <v>3071-0000-9498</v>
      </c>
      <c r="B6272" s="4" t="s">
        <v>8553</v>
      </c>
      <c r="C6272" s="5">
        <v>41489</v>
      </c>
      <c r="D6272" s="5">
        <v>41549</v>
      </c>
      <c r="E6272" s="4" t="s">
        <v>1410</v>
      </c>
      <c r="F6272" s="4" t="s">
        <v>4459</v>
      </c>
    </row>
    <row r="6273" spans="1:6" x14ac:dyDescent="0.25">
      <c r="A6273" s="4" t="str">
        <f>CONCATENATE("3071-0000-2832","")</f>
        <v>3071-0000-2832</v>
      </c>
      <c r="B6273" s="4" t="s">
        <v>1096</v>
      </c>
      <c r="C6273" s="5">
        <v>41489</v>
      </c>
      <c r="D6273" s="5">
        <v>41549</v>
      </c>
      <c r="E6273" s="4" t="s">
        <v>7</v>
      </c>
      <c r="F6273" s="4" t="s">
        <v>808</v>
      </c>
    </row>
    <row r="6274" spans="1:6" x14ac:dyDescent="0.25">
      <c r="A6274" s="4" t="str">
        <f>CONCATENATE("3071-0000-7355","")</f>
        <v>3071-0000-7355</v>
      </c>
      <c r="B6274" s="4" t="s">
        <v>5087</v>
      </c>
      <c r="C6274" s="5">
        <v>41489</v>
      </c>
      <c r="D6274" s="5">
        <v>41549</v>
      </c>
      <c r="E6274" s="4" t="s">
        <v>1410</v>
      </c>
      <c r="F6274" s="4" t="s">
        <v>1410</v>
      </c>
    </row>
    <row r="6275" spans="1:6" x14ac:dyDescent="0.25">
      <c r="A6275" s="4" t="str">
        <f>CONCATENATE("3071-0000-3922","")</f>
        <v>3071-0000-3922</v>
      </c>
      <c r="B6275" s="4" t="s">
        <v>4069</v>
      </c>
      <c r="C6275" s="5">
        <v>41489</v>
      </c>
      <c r="D6275" s="5">
        <v>41549</v>
      </c>
      <c r="E6275" s="4" t="s">
        <v>1381</v>
      </c>
      <c r="F6275" s="4" t="s">
        <v>4057</v>
      </c>
    </row>
    <row r="6276" spans="1:6" x14ac:dyDescent="0.25">
      <c r="A6276" s="4" t="str">
        <f>CONCATENATE("3071-0000-9436","")</f>
        <v>3071-0000-9436</v>
      </c>
      <c r="B6276" s="4" t="s">
        <v>8435</v>
      </c>
      <c r="C6276" s="5">
        <v>41489</v>
      </c>
      <c r="D6276" s="5">
        <v>41549</v>
      </c>
      <c r="E6276" s="4" t="s">
        <v>1410</v>
      </c>
      <c r="F6276" s="4" t="s">
        <v>7967</v>
      </c>
    </row>
    <row r="6277" spans="1:6" x14ac:dyDescent="0.25">
      <c r="A6277" s="4" t="str">
        <f>CONCATENATE("3071-0000-9427","")</f>
        <v>3071-0000-9427</v>
      </c>
      <c r="B6277" s="4" t="s">
        <v>8409</v>
      </c>
      <c r="C6277" s="5">
        <v>41489</v>
      </c>
      <c r="D6277" s="5">
        <v>41549</v>
      </c>
      <c r="E6277" s="4" t="s">
        <v>1410</v>
      </c>
      <c r="F6277" s="4" t="s">
        <v>7967</v>
      </c>
    </row>
    <row r="6278" spans="1:6" x14ac:dyDescent="0.25">
      <c r="A6278" s="4" t="str">
        <f>CONCATENATE("3071-0000-9478","")</f>
        <v>3071-0000-9478</v>
      </c>
      <c r="B6278" s="4" t="s">
        <v>8583</v>
      </c>
      <c r="C6278" s="5">
        <v>41489</v>
      </c>
      <c r="D6278" s="5">
        <v>41549</v>
      </c>
      <c r="E6278" s="4" t="s">
        <v>1410</v>
      </c>
      <c r="F6278" s="4" t="s">
        <v>4459</v>
      </c>
    </row>
    <row r="6279" spans="1:6" x14ac:dyDescent="0.25">
      <c r="A6279" s="4" t="str">
        <f>CONCATENATE("3071-0000-4784","")</f>
        <v>3071-0000-4784</v>
      </c>
      <c r="B6279" s="4" t="s">
        <v>9032</v>
      </c>
      <c r="C6279" s="5">
        <v>41489</v>
      </c>
      <c r="D6279" s="5">
        <v>41549</v>
      </c>
      <c r="E6279" s="4" t="s">
        <v>1410</v>
      </c>
      <c r="F6279" s="4" t="s">
        <v>8696</v>
      </c>
    </row>
    <row r="6280" spans="1:6" x14ac:dyDescent="0.25">
      <c r="A6280" s="4" t="str">
        <f>CONCATENATE("3071-0000-3754","")</f>
        <v>3071-0000-3754</v>
      </c>
      <c r="B6280" s="4" t="s">
        <v>1622</v>
      </c>
      <c r="C6280" s="5">
        <v>41489</v>
      </c>
      <c r="D6280" s="5">
        <v>41549</v>
      </c>
      <c r="E6280" s="4" t="s">
        <v>1410</v>
      </c>
      <c r="F6280" s="4" t="s">
        <v>1613</v>
      </c>
    </row>
    <row r="6281" spans="1:6" x14ac:dyDescent="0.25">
      <c r="A6281" s="4" t="str">
        <f>CONCATENATE("3071-0000-7829","")</f>
        <v>3071-0000-7829</v>
      </c>
      <c r="B6281" s="4" t="s">
        <v>5832</v>
      </c>
      <c r="C6281" s="5">
        <v>41489</v>
      </c>
      <c r="D6281" s="5">
        <v>41549</v>
      </c>
      <c r="E6281" s="4" t="s">
        <v>5185</v>
      </c>
      <c r="F6281" s="4" t="s">
        <v>5185</v>
      </c>
    </row>
    <row r="6282" spans="1:6" x14ac:dyDescent="0.25">
      <c r="A6282" s="4" t="str">
        <f>CONCATENATE("3071-0000-6081","")</f>
        <v>3071-0000-6081</v>
      </c>
      <c r="B6282" s="4" t="s">
        <v>6928</v>
      </c>
      <c r="C6282" s="5">
        <v>41489</v>
      </c>
      <c r="D6282" s="5">
        <v>41549</v>
      </c>
      <c r="E6282" s="4" t="s">
        <v>1410</v>
      </c>
      <c r="F6282" s="4" t="s">
        <v>6635</v>
      </c>
    </row>
    <row r="6283" spans="1:6" x14ac:dyDescent="0.25">
      <c r="A6283" s="4" t="str">
        <f>CONCATENATE("3071-0000-2744","")</f>
        <v>3071-0000-2744</v>
      </c>
      <c r="B6283" s="4" t="s">
        <v>837</v>
      </c>
      <c r="C6283" s="5">
        <v>41489</v>
      </c>
      <c r="D6283" s="5">
        <v>41549</v>
      </c>
      <c r="E6283" s="4" t="s">
        <v>7</v>
      </c>
      <c r="F6283" s="4" t="s">
        <v>808</v>
      </c>
    </row>
    <row r="6284" spans="1:6" x14ac:dyDescent="0.25">
      <c r="A6284" s="4" t="str">
        <f>CONCATENATE("3071-0000-2501","")</f>
        <v>3071-0000-2501</v>
      </c>
      <c r="B6284" s="4" t="s">
        <v>3616</v>
      </c>
      <c r="C6284" s="5">
        <v>41489</v>
      </c>
      <c r="D6284" s="5">
        <v>41549</v>
      </c>
      <c r="E6284" s="4" t="s">
        <v>2944</v>
      </c>
      <c r="F6284" s="4" t="s">
        <v>3567</v>
      </c>
    </row>
    <row r="6285" spans="1:6" x14ac:dyDescent="0.25">
      <c r="A6285" s="4" t="str">
        <f>CONCATENATE("3071-0000-9403","")</f>
        <v>3071-0000-9403</v>
      </c>
      <c r="B6285" s="4" t="s">
        <v>8494</v>
      </c>
      <c r="C6285" s="5">
        <v>41489</v>
      </c>
      <c r="D6285" s="5">
        <v>41549</v>
      </c>
      <c r="E6285" s="4" t="s">
        <v>1410</v>
      </c>
      <c r="F6285" s="4" t="s">
        <v>4459</v>
      </c>
    </row>
    <row r="6286" spans="1:6" x14ac:dyDescent="0.25">
      <c r="A6286" s="4" t="str">
        <f>CONCATENATE("3071-0000-7098","")</f>
        <v>3071-0000-7098</v>
      </c>
      <c r="B6286" s="4" t="s">
        <v>4773</v>
      </c>
      <c r="C6286" s="5">
        <v>41489</v>
      </c>
      <c r="D6286" s="5">
        <v>41549</v>
      </c>
      <c r="E6286" s="4" t="s">
        <v>1410</v>
      </c>
      <c r="F6286" s="4" t="s">
        <v>1410</v>
      </c>
    </row>
    <row r="6287" spans="1:6" x14ac:dyDescent="0.25">
      <c r="A6287" s="4" t="str">
        <f>CONCATENATE("3071-0000-8004","")</f>
        <v>3071-0000-8004</v>
      </c>
      <c r="B6287" s="4" t="s">
        <v>5389</v>
      </c>
      <c r="C6287" s="5">
        <v>41489</v>
      </c>
      <c r="D6287" s="5">
        <v>41549</v>
      </c>
      <c r="E6287" s="4" t="s">
        <v>5185</v>
      </c>
      <c r="F6287" s="4" t="s">
        <v>5185</v>
      </c>
    </row>
    <row r="6288" spans="1:6" x14ac:dyDescent="0.25">
      <c r="A6288" s="4" t="str">
        <f>CONCATENATE("3071-0000-7253","")</f>
        <v>3071-0000-7253</v>
      </c>
      <c r="B6288" s="4" t="s">
        <v>4897</v>
      </c>
      <c r="C6288" s="5">
        <v>41489</v>
      </c>
      <c r="D6288" s="5">
        <v>41549</v>
      </c>
      <c r="E6288" s="4" t="s">
        <v>1410</v>
      </c>
      <c r="F6288" s="4" t="s">
        <v>1410</v>
      </c>
    </row>
    <row r="6289" spans="1:6" x14ac:dyDescent="0.25">
      <c r="A6289" s="4" t="str">
        <f>CONCATENATE("3071-0000-8931","")</f>
        <v>3071-0000-8931</v>
      </c>
      <c r="B6289" s="4" t="s">
        <v>5342</v>
      </c>
      <c r="C6289" s="5">
        <v>41489</v>
      </c>
      <c r="D6289" s="5">
        <v>41549</v>
      </c>
      <c r="E6289" s="4" t="s">
        <v>1410</v>
      </c>
      <c r="F6289" s="4" t="s">
        <v>4616</v>
      </c>
    </row>
    <row r="6290" spans="1:6" x14ac:dyDescent="0.25">
      <c r="A6290" s="4" t="str">
        <f>CONCATENATE("3071-0000-0600","")</f>
        <v>3071-0000-0600</v>
      </c>
      <c r="B6290" s="4" t="s">
        <v>127</v>
      </c>
      <c r="C6290" s="5">
        <v>41489</v>
      </c>
      <c r="D6290" s="5">
        <v>41549</v>
      </c>
      <c r="E6290" s="4" t="s">
        <v>7</v>
      </c>
      <c r="F6290" s="4" t="s">
        <v>7</v>
      </c>
    </row>
    <row r="6291" spans="1:6" x14ac:dyDescent="0.25">
      <c r="A6291" s="4" t="str">
        <f>CONCATENATE("3071-0000-0209","")</f>
        <v>3071-0000-0209</v>
      </c>
      <c r="B6291" s="4" t="s">
        <v>447</v>
      </c>
      <c r="C6291" s="5">
        <v>41489</v>
      </c>
      <c r="D6291" s="5">
        <v>41549</v>
      </c>
      <c r="E6291" s="4" t="s">
        <v>7</v>
      </c>
      <c r="F6291" s="4" t="s">
        <v>7</v>
      </c>
    </row>
    <row r="6292" spans="1:6" x14ac:dyDescent="0.25">
      <c r="A6292" s="4" t="str">
        <f>CONCATENATE("3071-0000-2656","")</f>
        <v>3071-0000-2656</v>
      </c>
      <c r="B6292" s="4" t="s">
        <v>3538</v>
      </c>
      <c r="C6292" s="5">
        <v>41489</v>
      </c>
      <c r="D6292" s="5">
        <v>41549</v>
      </c>
      <c r="E6292" s="4" t="s">
        <v>2944</v>
      </c>
      <c r="F6292" s="4" t="s">
        <v>3515</v>
      </c>
    </row>
    <row r="6293" spans="1:6" x14ac:dyDescent="0.25">
      <c r="A6293" s="4" t="str">
        <f>CONCATENATE("3071-0000-7247","")</f>
        <v>3071-0000-7247</v>
      </c>
      <c r="B6293" s="4" t="s">
        <v>4937</v>
      </c>
      <c r="C6293" s="5">
        <v>41489</v>
      </c>
      <c r="D6293" s="5">
        <v>41549</v>
      </c>
      <c r="E6293" s="4" t="s">
        <v>1410</v>
      </c>
      <c r="F6293" s="4" t="s">
        <v>1410</v>
      </c>
    </row>
    <row r="6294" spans="1:6" x14ac:dyDescent="0.25">
      <c r="A6294" s="4" t="str">
        <f>CONCATENATE("3071-0000-9620","")</f>
        <v>3071-0000-9620</v>
      </c>
      <c r="B6294" s="4" t="s">
        <v>8623</v>
      </c>
      <c r="C6294" s="5">
        <v>41489</v>
      </c>
      <c r="D6294" s="5">
        <v>41549</v>
      </c>
      <c r="E6294" s="4" t="s">
        <v>1410</v>
      </c>
      <c r="F6294" s="4" t="s">
        <v>4459</v>
      </c>
    </row>
    <row r="6295" spans="1:6" x14ac:dyDescent="0.25">
      <c r="A6295" s="4" t="str">
        <f>CONCATENATE("3071-0000-2645","")</f>
        <v>3071-0000-2645</v>
      </c>
      <c r="B6295" s="4" t="s">
        <v>3776</v>
      </c>
      <c r="C6295" s="5">
        <v>41489</v>
      </c>
      <c r="D6295" s="5">
        <v>41549</v>
      </c>
      <c r="E6295" s="4" t="s">
        <v>2944</v>
      </c>
      <c r="F6295" s="4" t="s">
        <v>3115</v>
      </c>
    </row>
    <row r="6296" spans="1:6" x14ac:dyDescent="0.25">
      <c r="A6296" s="4" t="str">
        <f>CONCATENATE("3071-0000-7996","")</f>
        <v>3071-0000-7996</v>
      </c>
      <c r="B6296" s="4" t="s">
        <v>5387</v>
      </c>
      <c r="C6296" s="5">
        <v>41489</v>
      </c>
      <c r="D6296" s="5">
        <v>41549</v>
      </c>
      <c r="E6296" s="4" t="s">
        <v>5185</v>
      </c>
      <c r="F6296" s="4" t="s">
        <v>5185</v>
      </c>
    </row>
    <row r="6297" spans="1:6" x14ac:dyDescent="0.25">
      <c r="A6297" s="4" t="str">
        <f>CONCATENATE("3071-0000-3982","")</f>
        <v>3071-0000-3982</v>
      </c>
      <c r="B6297" s="4" t="s">
        <v>4080</v>
      </c>
      <c r="C6297" s="5">
        <v>41489</v>
      </c>
      <c r="D6297" s="5">
        <v>41549</v>
      </c>
      <c r="E6297" s="4" t="s">
        <v>1381</v>
      </c>
      <c r="F6297" s="4" t="s">
        <v>4057</v>
      </c>
    </row>
    <row r="6298" spans="1:6" x14ac:dyDescent="0.25">
      <c r="A6298" s="4" t="str">
        <f>CONCATENATE("3071-0000-3934","")</f>
        <v>3071-0000-3934</v>
      </c>
      <c r="B6298" s="4" t="s">
        <v>4083</v>
      </c>
      <c r="C6298" s="5">
        <v>41489</v>
      </c>
      <c r="D6298" s="5">
        <v>41549</v>
      </c>
      <c r="E6298" s="4" t="s">
        <v>1381</v>
      </c>
      <c r="F6298" s="4" t="s">
        <v>4057</v>
      </c>
    </row>
    <row r="6299" spans="1:6" x14ac:dyDescent="0.25">
      <c r="A6299" s="4" t="str">
        <f>CONCATENATE("3071-0000-0551","")</f>
        <v>3071-0000-0551</v>
      </c>
      <c r="B6299" s="4" t="s">
        <v>381</v>
      </c>
      <c r="C6299" s="5">
        <v>41489</v>
      </c>
      <c r="D6299" s="5">
        <v>41549</v>
      </c>
      <c r="E6299" s="4" t="s">
        <v>7</v>
      </c>
      <c r="F6299" s="4" t="s">
        <v>7</v>
      </c>
    </row>
    <row r="6300" spans="1:6" x14ac:dyDescent="0.25">
      <c r="A6300" s="4" t="str">
        <f>CONCATENATE("3071-0000-2082","")</f>
        <v>3071-0000-2082</v>
      </c>
      <c r="B6300" s="4" t="s">
        <v>3467</v>
      </c>
      <c r="C6300" s="5">
        <v>41489</v>
      </c>
      <c r="D6300" s="5">
        <v>41549</v>
      </c>
      <c r="E6300" s="4" t="s">
        <v>2944</v>
      </c>
      <c r="F6300" s="4" t="s">
        <v>2945</v>
      </c>
    </row>
    <row r="6301" spans="1:6" x14ac:dyDescent="0.25">
      <c r="A6301" s="4" t="str">
        <f>CONCATENATE("3071-0000-2173","")</f>
        <v>3071-0000-2173</v>
      </c>
      <c r="B6301" s="4" t="s">
        <v>3649</v>
      </c>
      <c r="C6301" s="5">
        <v>41489</v>
      </c>
      <c r="D6301" s="5">
        <v>41549</v>
      </c>
      <c r="E6301" s="4" t="s">
        <v>2944</v>
      </c>
      <c r="F6301" s="4" t="s">
        <v>2945</v>
      </c>
    </row>
    <row r="6302" spans="1:6" x14ac:dyDescent="0.25">
      <c r="A6302" s="4" t="str">
        <f>CONCATENATE("3071-0000-3873","")</f>
        <v>3071-0000-3873</v>
      </c>
      <c r="B6302" s="4" t="s">
        <v>4022</v>
      </c>
      <c r="C6302" s="5">
        <v>41489</v>
      </c>
      <c r="D6302" s="5">
        <v>41549</v>
      </c>
      <c r="E6302" s="4" t="s">
        <v>1381</v>
      </c>
      <c r="F6302" s="4" t="s">
        <v>3994</v>
      </c>
    </row>
    <row r="6303" spans="1:6" x14ac:dyDescent="0.25">
      <c r="A6303" s="4" t="str">
        <f>CONCATENATE("3071-0000-7970","")</f>
        <v>3071-0000-7970</v>
      </c>
      <c r="B6303" s="4" t="s">
        <v>5366</v>
      </c>
      <c r="C6303" s="5">
        <v>41489</v>
      </c>
      <c r="D6303" s="5">
        <v>41549</v>
      </c>
      <c r="E6303" s="4" t="s">
        <v>5185</v>
      </c>
      <c r="F6303" s="4" t="s">
        <v>5185</v>
      </c>
    </row>
    <row r="6304" spans="1:6" x14ac:dyDescent="0.25">
      <c r="A6304" s="4" t="str">
        <f>CONCATENATE("3071-0000-2146","")</f>
        <v>3071-0000-2146</v>
      </c>
      <c r="B6304" s="4" t="s">
        <v>3534</v>
      </c>
      <c r="C6304" s="5">
        <v>41489</v>
      </c>
      <c r="D6304" s="5">
        <v>41549</v>
      </c>
      <c r="E6304" s="4" t="s">
        <v>2944</v>
      </c>
      <c r="F6304" s="4" t="s">
        <v>2945</v>
      </c>
    </row>
    <row r="6305" spans="1:6" x14ac:dyDescent="0.25">
      <c r="A6305" s="4" t="str">
        <f>CONCATENATE("3071-0000-7324","")</f>
        <v>3071-0000-7324</v>
      </c>
      <c r="B6305" s="4" t="s">
        <v>4586</v>
      </c>
      <c r="C6305" s="5">
        <v>41489</v>
      </c>
      <c r="D6305" s="5">
        <v>41549</v>
      </c>
      <c r="E6305" s="4" t="s">
        <v>1410</v>
      </c>
      <c r="F6305" s="4" t="s">
        <v>1410</v>
      </c>
    </row>
    <row r="6306" spans="1:6" x14ac:dyDescent="0.25">
      <c r="A6306" s="4" t="str">
        <f>CONCATENATE("3071-0000-8918","")</f>
        <v>3071-0000-8918</v>
      </c>
      <c r="B6306" s="4" t="s">
        <v>5347</v>
      </c>
      <c r="C6306" s="5">
        <v>41489</v>
      </c>
      <c r="D6306" s="5">
        <v>41549</v>
      </c>
      <c r="E6306" s="4" t="s">
        <v>1410</v>
      </c>
      <c r="F6306" s="4" t="s">
        <v>4616</v>
      </c>
    </row>
    <row r="6307" spans="1:6" x14ac:dyDescent="0.25">
      <c r="A6307" s="4" t="str">
        <f>CONCATENATE("3071-0000-7058","")</f>
        <v>3071-0000-7058</v>
      </c>
      <c r="B6307" s="4" t="s">
        <v>4842</v>
      </c>
      <c r="C6307" s="5">
        <v>41489</v>
      </c>
      <c r="D6307" s="5">
        <v>41549</v>
      </c>
      <c r="E6307" s="4" t="s">
        <v>1410</v>
      </c>
      <c r="F6307" s="4" t="s">
        <v>1410</v>
      </c>
    </row>
    <row r="6308" spans="1:6" x14ac:dyDescent="0.25">
      <c r="A6308" s="4" t="str">
        <f>CONCATENATE("3071-0000-3610","")</f>
        <v>3071-0000-3610</v>
      </c>
      <c r="B6308" s="4" t="s">
        <v>1454</v>
      </c>
      <c r="C6308" s="5">
        <v>41489</v>
      </c>
      <c r="D6308" s="5">
        <v>41549</v>
      </c>
      <c r="E6308" s="4" t="s">
        <v>1410</v>
      </c>
      <c r="F6308" s="4" t="s">
        <v>1411</v>
      </c>
    </row>
    <row r="6309" spans="1:6" x14ac:dyDescent="0.25">
      <c r="A6309" s="4" t="str">
        <f>CONCATENATE("3071-0000-0156","")</f>
        <v>3071-0000-0156</v>
      </c>
      <c r="B6309" s="4" t="s">
        <v>334</v>
      </c>
      <c r="C6309" s="5">
        <v>41489</v>
      </c>
      <c r="D6309" s="5">
        <v>41549</v>
      </c>
      <c r="E6309" s="4" t="s">
        <v>7</v>
      </c>
      <c r="F6309" s="4" t="s">
        <v>7</v>
      </c>
    </row>
    <row r="6310" spans="1:6" x14ac:dyDescent="0.25">
      <c r="A6310" s="4" t="str">
        <f>CONCATENATE("3071-0000-7109","")</f>
        <v>3071-0000-7109</v>
      </c>
      <c r="B6310" s="4" t="s">
        <v>4772</v>
      </c>
      <c r="C6310" s="5">
        <v>41489</v>
      </c>
      <c r="D6310" s="5">
        <v>41549</v>
      </c>
      <c r="E6310" s="4" t="s">
        <v>1410</v>
      </c>
      <c r="F6310" s="4" t="s">
        <v>1410</v>
      </c>
    </row>
    <row r="6311" spans="1:6" x14ac:dyDescent="0.25">
      <c r="A6311" s="4" t="str">
        <f>CONCATENATE("3071-0000-7238","")</f>
        <v>3071-0000-7238</v>
      </c>
      <c r="B6311" s="4" t="s">
        <v>4929</v>
      </c>
      <c r="C6311" s="5">
        <v>41489</v>
      </c>
      <c r="D6311" s="5">
        <v>41549</v>
      </c>
      <c r="E6311" s="4" t="s">
        <v>1410</v>
      </c>
      <c r="F6311" s="4" t="s">
        <v>1410</v>
      </c>
    </row>
    <row r="6312" spans="1:6" x14ac:dyDescent="0.25">
      <c r="A6312" s="4" t="str">
        <f>CONCATENATE("3071-0000-9418","")</f>
        <v>3071-0000-9418</v>
      </c>
      <c r="B6312" s="4" t="s">
        <v>8484</v>
      </c>
      <c r="C6312" s="5">
        <v>41489</v>
      </c>
      <c r="D6312" s="5">
        <v>41549</v>
      </c>
      <c r="E6312" s="4" t="s">
        <v>1410</v>
      </c>
      <c r="F6312" s="4" t="s">
        <v>4459</v>
      </c>
    </row>
    <row r="6313" spans="1:6" x14ac:dyDescent="0.25">
      <c r="A6313" s="4" t="str">
        <f>CONCATENATE("3071-0000-8318","")</f>
        <v>3071-0000-8318</v>
      </c>
      <c r="B6313" s="4" t="s">
        <v>5205</v>
      </c>
      <c r="C6313" s="5">
        <v>41489</v>
      </c>
      <c r="D6313" s="5">
        <v>41549</v>
      </c>
      <c r="E6313" s="4" t="s">
        <v>5185</v>
      </c>
      <c r="F6313" s="4" t="s">
        <v>5185</v>
      </c>
    </row>
    <row r="6314" spans="1:6" x14ac:dyDescent="0.25">
      <c r="A6314" s="4" t="str">
        <f>CONCATENATE("3071-0000-0185","")</f>
        <v>3071-0000-0185</v>
      </c>
      <c r="B6314" s="4" t="s">
        <v>387</v>
      </c>
      <c r="C6314" s="5">
        <v>41489</v>
      </c>
      <c r="D6314" s="5">
        <v>41549</v>
      </c>
      <c r="E6314" s="4" t="s">
        <v>7</v>
      </c>
      <c r="F6314" s="4" t="s">
        <v>7</v>
      </c>
    </row>
    <row r="6315" spans="1:6" x14ac:dyDescent="0.25">
      <c r="A6315" s="4" t="str">
        <f>CONCATENATE("3071-0000-6746","")</f>
        <v>3071-0000-6746</v>
      </c>
      <c r="B6315" s="4" t="s">
        <v>7772</v>
      </c>
      <c r="C6315" s="5">
        <v>41489</v>
      </c>
      <c r="D6315" s="5">
        <v>41549</v>
      </c>
      <c r="E6315" s="4" t="s">
        <v>5185</v>
      </c>
      <c r="F6315" s="4" t="s">
        <v>5185</v>
      </c>
    </row>
    <row r="6316" spans="1:6" x14ac:dyDescent="0.25">
      <c r="A6316" s="4" t="str">
        <f>CONCATENATE("3071-0000-2507","")</f>
        <v>3071-0000-2507</v>
      </c>
      <c r="B6316" s="4" t="s">
        <v>3631</v>
      </c>
      <c r="C6316" s="5">
        <v>41489</v>
      </c>
      <c r="D6316" s="5">
        <v>41549</v>
      </c>
      <c r="E6316" s="4" t="s">
        <v>2944</v>
      </c>
      <c r="F6316" s="4" t="s">
        <v>3567</v>
      </c>
    </row>
    <row r="6317" spans="1:6" x14ac:dyDescent="0.25">
      <c r="A6317" s="4" t="str">
        <f>CONCATENATE("3071-0000-3878","")</f>
        <v>3071-0000-3878</v>
      </c>
      <c r="B6317" s="4" t="s">
        <v>4030</v>
      </c>
      <c r="C6317" s="5">
        <v>41489</v>
      </c>
      <c r="D6317" s="5">
        <v>41549</v>
      </c>
      <c r="E6317" s="4" t="s">
        <v>1381</v>
      </c>
      <c r="F6317" s="4" t="s">
        <v>3994</v>
      </c>
    </row>
    <row r="6318" spans="1:6" x14ac:dyDescent="0.25">
      <c r="A6318" s="4" t="str">
        <f>CONCATENATE("3071-0000-8900","")</f>
        <v>3071-0000-8900</v>
      </c>
      <c r="B6318" s="4" t="s">
        <v>6255</v>
      </c>
      <c r="C6318" s="5">
        <v>41489</v>
      </c>
      <c r="D6318" s="5">
        <v>41549</v>
      </c>
      <c r="E6318" s="4" t="s">
        <v>5185</v>
      </c>
      <c r="F6318" s="4" t="s">
        <v>6181</v>
      </c>
    </row>
    <row r="6319" spans="1:6" x14ac:dyDescent="0.25">
      <c r="A6319" s="4" t="str">
        <f>CONCATENATE("3071-0000-4006","")</f>
        <v>3071-0000-4006</v>
      </c>
      <c r="B6319" s="4" t="s">
        <v>3829</v>
      </c>
      <c r="C6319" s="5">
        <v>41489</v>
      </c>
      <c r="D6319" s="5">
        <v>41549</v>
      </c>
      <c r="E6319" s="4" t="s">
        <v>7</v>
      </c>
      <c r="F6319" s="4" t="s">
        <v>3818</v>
      </c>
    </row>
    <row r="6320" spans="1:6" x14ac:dyDescent="0.25">
      <c r="A6320" s="4" t="str">
        <f>CONCATENATE("3071-0000-2642","")</f>
        <v>3071-0000-2642</v>
      </c>
      <c r="B6320" s="4" t="s">
        <v>3466</v>
      </c>
      <c r="C6320" s="5">
        <v>41489</v>
      </c>
      <c r="D6320" s="5">
        <v>41549</v>
      </c>
      <c r="E6320" s="4" t="s">
        <v>2944</v>
      </c>
      <c r="F6320" s="4" t="s">
        <v>3434</v>
      </c>
    </row>
    <row r="6321" spans="1:6" x14ac:dyDescent="0.25">
      <c r="A6321" s="4" t="str">
        <f>CONCATENATE("3071-0000-2502","")</f>
        <v>3071-0000-2502</v>
      </c>
      <c r="B6321" s="4" t="s">
        <v>3621</v>
      </c>
      <c r="C6321" s="5">
        <v>41489</v>
      </c>
      <c r="D6321" s="5">
        <v>41549</v>
      </c>
      <c r="E6321" s="4" t="s">
        <v>2944</v>
      </c>
      <c r="F6321" s="4" t="s">
        <v>3567</v>
      </c>
    </row>
    <row r="6322" spans="1:6" x14ac:dyDescent="0.25">
      <c r="A6322" s="4" t="str">
        <f>CONCATENATE("3071-0000-9489","")</f>
        <v>3071-0000-9489</v>
      </c>
      <c r="B6322" s="4" t="s">
        <v>8563</v>
      </c>
      <c r="C6322" s="5">
        <v>41489</v>
      </c>
      <c r="D6322" s="5">
        <v>41549</v>
      </c>
      <c r="E6322" s="4" t="s">
        <v>1410</v>
      </c>
      <c r="F6322" s="4" t="s">
        <v>4459</v>
      </c>
    </row>
    <row r="6323" spans="1:6" x14ac:dyDescent="0.25">
      <c r="A6323" s="4" t="str">
        <f>CONCATENATE("3071-0000-9578","")</f>
        <v>3071-0000-9578</v>
      </c>
      <c r="B6323" s="4" t="s">
        <v>8365</v>
      </c>
      <c r="C6323" s="5">
        <v>41489</v>
      </c>
      <c r="D6323" s="5">
        <v>41549</v>
      </c>
      <c r="E6323" s="4" t="s">
        <v>1410</v>
      </c>
      <c r="F6323" s="4" t="s">
        <v>7967</v>
      </c>
    </row>
    <row r="6324" spans="1:6" x14ac:dyDescent="0.25">
      <c r="A6324" s="4" t="str">
        <f>CONCATENATE("3071-0000-5247","")</f>
        <v>3071-0000-5247</v>
      </c>
      <c r="B6324" s="4" t="s">
        <v>6731</v>
      </c>
      <c r="C6324" s="5">
        <v>41489</v>
      </c>
      <c r="D6324" s="5">
        <v>41549</v>
      </c>
      <c r="E6324" s="4" t="s">
        <v>5185</v>
      </c>
      <c r="F6324" s="4" t="s">
        <v>5185</v>
      </c>
    </row>
    <row r="6325" spans="1:6" x14ac:dyDescent="0.25">
      <c r="A6325" s="4" t="str">
        <f>CONCATENATE("3071-0000-9493","")</f>
        <v>3071-0000-9493</v>
      </c>
      <c r="B6325" s="4" t="s">
        <v>8573</v>
      </c>
      <c r="C6325" s="5">
        <v>41489</v>
      </c>
      <c r="D6325" s="5">
        <v>41549</v>
      </c>
      <c r="E6325" s="4" t="s">
        <v>1410</v>
      </c>
      <c r="F6325" s="4" t="s">
        <v>4459</v>
      </c>
    </row>
    <row r="6326" spans="1:6" x14ac:dyDescent="0.25">
      <c r="A6326" s="4" t="str">
        <f>CONCATENATE("3071-0000-9432","")</f>
        <v>3071-0000-9432</v>
      </c>
      <c r="B6326" s="4" t="s">
        <v>8417</v>
      </c>
      <c r="C6326" s="5">
        <v>41489</v>
      </c>
      <c r="D6326" s="5">
        <v>41549</v>
      </c>
      <c r="E6326" s="4" t="s">
        <v>1410</v>
      </c>
      <c r="F6326" s="4" t="s">
        <v>7967</v>
      </c>
    </row>
    <row r="6327" spans="1:6" x14ac:dyDescent="0.25">
      <c r="A6327" s="4" t="str">
        <f>CONCATENATE("3071-0000-8890","")</f>
        <v>3071-0000-8890</v>
      </c>
      <c r="B6327" s="4" t="s">
        <v>5354</v>
      </c>
      <c r="C6327" s="5">
        <v>41489</v>
      </c>
      <c r="D6327" s="5">
        <v>41549</v>
      </c>
      <c r="E6327" s="4" t="s">
        <v>5185</v>
      </c>
      <c r="F6327" s="4" t="s">
        <v>4188</v>
      </c>
    </row>
    <row r="6328" spans="1:6" x14ac:dyDescent="0.25">
      <c r="A6328" s="4" t="str">
        <f>CONCATENATE("3071-0000-3629","")</f>
        <v>3071-0000-3629</v>
      </c>
      <c r="B6328" s="4" t="s">
        <v>1640</v>
      </c>
      <c r="C6328" s="5">
        <v>41489</v>
      </c>
      <c r="D6328" s="5">
        <v>41549</v>
      </c>
      <c r="E6328" s="4" t="s">
        <v>1410</v>
      </c>
      <c r="F6328" s="4" t="s">
        <v>1410</v>
      </c>
    </row>
    <row r="6329" spans="1:6" x14ac:dyDescent="0.25">
      <c r="A6329" s="4" t="str">
        <f>CONCATENATE("3071-0000-8863","")</f>
        <v>3071-0000-8863</v>
      </c>
      <c r="B6329" s="4" t="s">
        <v>6432</v>
      </c>
      <c r="C6329" s="5">
        <v>41489</v>
      </c>
      <c r="D6329" s="5">
        <v>41549</v>
      </c>
      <c r="E6329" s="4" t="s">
        <v>5185</v>
      </c>
      <c r="F6329" s="4" t="s">
        <v>5292</v>
      </c>
    </row>
    <row r="6330" spans="1:6" x14ac:dyDescent="0.25">
      <c r="A6330" s="4" t="str">
        <f>CONCATENATE("3071-0000-8395","")</f>
        <v>3071-0000-8395</v>
      </c>
      <c r="B6330" s="4" t="s">
        <v>5761</v>
      </c>
      <c r="C6330" s="5">
        <v>41489</v>
      </c>
      <c r="D6330" s="5">
        <v>41549</v>
      </c>
      <c r="E6330" s="4" t="s">
        <v>5185</v>
      </c>
      <c r="F6330" s="4" t="s">
        <v>5185</v>
      </c>
    </row>
    <row r="6331" spans="1:6" x14ac:dyDescent="0.25">
      <c r="A6331" s="4" t="str">
        <f>CONCATENATE("3071-0000-8809","")</f>
        <v>3071-0000-8809</v>
      </c>
      <c r="B6331" s="4" t="s">
        <v>6602</v>
      </c>
      <c r="C6331" s="5">
        <v>41489</v>
      </c>
      <c r="D6331" s="5">
        <v>41549</v>
      </c>
      <c r="E6331" s="4" t="s">
        <v>5185</v>
      </c>
      <c r="F6331" s="4" t="s">
        <v>5292</v>
      </c>
    </row>
    <row r="6332" spans="1:6" x14ac:dyDescent="0.25">
      <c r="A6332" s="4" t="str">
        <f>CONCATENATE("3071-0000-7483","")</f>
        <v>3071-0000-7483</v>
      </c>
      <c r="B6332" s="4" t="s">
        <v>4726</v>
      </c>
      <c r="C6332" s="5">
        <v>41489</v>
      </c>
      <c r="D6332" s="5">
        <v>41549</v>
      </c>
      <c r="E6332" s="4" t="s">
        <v>1410</v>
      </c>
      <c r="F6332" s="4" t="s">
        <v>4655</v>
      </c>
    </row>
    <row r="6333" spans="1:6" x14ac:dyDescent="0.25">
      <c r="A6333" s="4" t="str">
        <f>CONCATENATE("3071-0000-4140","")</f>
        <v>3071-0000-4140</v>
      </c>
      <c r="B6333" s="4" t="s">
        <v>4050</v>
      </c>
      <c r="C6333" s="5">
        <v>41489</v>
      </c>
      <c r="D6333" s="5">
        <v>41549</v>
      </c>
      <c r="E6333" s="4" t="s">
        <v>1381</v>
      </c>
      <c r="F6333" s="4" t="s">
        <v>4044</v>
      </c>
    </row>
    <row r="6334" spans="1:6" x14ac:dyDescent="0.25">
      <c r="A6334" s="4" t="str">
        <f>CONCATENATE("3071-0000-7974","")</f>
        <v>3071-0000-7974</v>
      </c>
      <c r="B6334" s="4" t="s">
        <v>5359</v>
      </c>
      <c r="C6334" s="5">
        <v>41489</v>
      </c>
      <c r="D6334" s="5">
        <v>41549</v>
      </c>
      <c r="E6334" s="4" t="s">
        <v>5185</v>
      </c>
      <c r="F6334" s="4" t="s">
        <v>5185</v>
      </c>
    </row>
    <row r="6335" spans="1:6" x14ac:dyDescent="0.25">
      <c r="A6335" s="4" t="str">
        <f>CONCATENATE("3071-0000-6704","")</f>
        <v>3071-0000-6704</v>
      </c>
      <c r="B6335" s="4" t="s">
        <v>8184</v>
      </c>
      <c r="C6335" s="5">
        <v>41489</v>
      </c>
      <c r="D6335" s="5">
        <v>41549</v>
      </c>
      <c r="E6335" s="4" t="s">
        <v>5185</v>
      </c>
      <c r="F6335" s="4" t="s">
        <v>5185</v>
      </c>
    </row>
    <row r="6336" spans="1:6" x14ac:dyDescent="0.25">
      <c r="A6336" s="4" t="str">
        <f>CONCATENATE("3071-0000-1589","")</f>
        <v>3071-0000-1589</v>
      </c>
      <c r="B6336" s="4" t="s">
        <v>2835</v>
      </c>
      <c r="C6336" s="5">
        <v>41489</v>
      </c>
      <c r="D6336" s="5">
        <v>41549</v>
      </c>
      <c r="E6336" s="4" t="s">
        <v>1381</v>
      </c>
      <c r="F6336" s="4" t="s">
        <v>2303</v>
      </c>
    </row>
    <row r="6337" spans="1:6" x14ac:dyDescent="0.25">
      <c r="A6337" s="4" t="str">
        <f>CONCATENATE("3071-0000-7975","")</f>
        <v>3071-0000-7975</v>
      </c>
      <c r="B6337" s="4" t="s">
        <v>5362</v>
      </c>
      <c r="C6337" s="5">
        <v>41489</v>
      </c>
      <c r="D6337" s="5">
        <v>41549</v>
      </c>
      <c r="E6337" s="4" t="s">
        <v>1410</v>
      </c>
      <c r="F6337" s="4" t="s">
        <v>4616</v>
      </c>
    </row>
    <row r="6338" spans="1:6" x14ac:dyDescent="0.25">
      <c r="A6338" s="4" t="str">
        <f>CONCATENATE("3071-0000-0140","")</f>
        <v>3071-0000-0140</v>
      </c>
      <c r="B6338" s="4" t="s">
        <v>314</v>
      </c>
      <c r="C6338" s="5">
        <v>41489</v>
      </c>
      <c r="D6338" s="5">
        <v>41549</v>
      </c>
      <c r="E6338" s="4" t="s">
        <v>7</v>
      </c>
      <c r="F6338" s="4" t="s">
        <v>7</v>
      </c>
    </row>
    <row r="6339" spans="1:6" x14ac:dyDescent="0.25">
      <c r="A6339" s="4" t="str">
        <f>CONCATENATE("3071-0000-8377","")</f>
        <v>3071-0000-8377</v>
      </c>
      <c r="B6339" s="4" t="s">
        <v>5424</v>
      </c>
      <c r="C6339" s="5">
        <v>41489</v>
      </c>
      <c r="D6339" s="5">
        <v>41549</v>
      </c>
      <c r="E6339" s="4" t="s">
        <v>5185</v>
      </c>
      <c r="F6339" s="4" t="s">
        <v>5185</v>
      </c>
    </row>
    <row r="6340" spans="1:6" x14ac:dyDescent="0.25">
      <c r="A6340" s="4" t="str">
        <f>CONCATENATE("3071-0000-5262","")</f>
        <v>3071-0000-5262</v>
      </c>
      <c r="B6340" s="4" t="s">
        <v>6754</v>
      </c>
      <c r="C6340" s="5">
        <v>41489</v>
      </c>
      <c r="D6340" s="5">
        <v>41549</v>
      </c>
      <c r="E6340" s="4" t="s">
        <v>5185</v>
      </c>
      <c r="F6340" s="4" t="s">
        <v>5185</v>
      </c>
    </row>
    <row r="6341" spans="1:6" x14ac:dyDescent="0.25">
      <c r="A6341" s="4" t="str">
        <f>CONCATENATE("3071-0000-1329","")</f>
        <v>3071-0000-1329</v>
      </c>
      <c r="B6341" s="4" t="s">
        <v>2457</v>
      </c>
      <c r="C6341" s="5">
        <v>41489</v>
      </c>
      <c r="D6341" s="5">
        <v>41549</v>
      </c>
      <c r="E6341" s="4" t="s">
        <v>1381</v>
      </c>
      <c r="F6341" s="4" t="s">
        <v>2303</v>
      </c>
    </row>
    <row r="6342" spans="1:6" x14ac:dyDescent="0.25">
      <c r="A6342" s="4" t="str">
        <f>CONCATENATE("3071-0000-4944","")</f>
        <v>3071-0000-4944</v>
      </c>
      <c r="B6342" s="4" t="s">
        <v>9105</v>
      </c>
      <c r="C6342" s="5">
        <v>41489</v>
      </c>
      <c r="D6342" s="5">
        <v>41549</v>
      </c>
      <c r="E6342" s="4" t="s">
        <v>7069</v>
      </c>
      <c r="F6342" s="4" t="s">
        <v>9065</v>
      </c>
    </row>
    <row r="6343" spans="1:6" x14ac:dyDescent="0.25">
      <c r="A6343" s="4" t="str">
        <f>CONCATENATE("3071-0000-5539","")</f>
        <v>3071-0000-5539</v>
      </c>
      <c r="B6343" s="4" t="s">
        <v>7366</v>
      </c>
      <c r="C6343" s="5">
        <v>41489</v>
      </c>
      <c r="D6343" s="5">
        <v>41549</v>
      </c>
      <c r="E6343" s="4" t="s">
        <v>5185</v>
      </c>
      <c r="F6343" s="4" t="s">
        <v>5185</v>
      </c>
    </row>
    <row r="6344" spans="1:6" x14ac:dyDescent="0.25">
      <c r="A6344" s="4" t="str">
        <f>CONCATENATE("3071-0000-6448","")</f>
        <v>3071-0000-6448</v>
      </c>
      <c r="B6344" s="4" t="s">
        <v>8088</v>
      </c>
      <c r="C6344" s="5">
        <v>41489</v>
      </c>
      <c r="D6344" s="5">
        <v>41549</v>
      </c>
      <c r="E6344" s="4" t="s">
        <v>5185</v>
      </c>
      <c r="F6344" s="4" t="s">
        <v>5185</v>
      </c>
    </row>
    <row r="6345" spans="1:6" x14ac:dyDescent="0.25">
      <c r="A6345" s="4" t="str">
        <f>CONCATENATE("3071-0000-7264","")</f>
        <v>3071-0000-7264</v>
      </c>
      <c r="B6345" s="4" t="s">
        <v>5034</v>
      </c>
      <c r="C6345" s="5">
        <v>41489</v>
      </c>
      <c r="D6345" s="5">
        <v>41549</v>
      </c>
      <c r="E6345" s="4" t="s">
        <v>1410</v>
      </c>
      <c r="F6345" s="4" t="s">
        <v>1410</v>
      </c>
    </row>
    <row r="6346" spans="1:6" x14ac:dyDescent="0.25">
      <c r="A6346" s="4" t="str">
        <f>CONCATENATE("3071-0000-7130","")</f>
        <v>3071-0000-7130</v>
      </c>
      <c r="B6346" s="4" t="s">
        <v>4956</v>
      </c>
      <c r="C6346" s="5">
        <v>41489</v>
      </c>
      <c r="D6346" s="5">
        <v>41549</v>
      </c>
      <c r="E6346" s="4" t="s">
        <v>1410</v>
      </c>
      <c r="F6346" s="4" t="s">
        <v>4616</v>
      </c>
    </row>
    <row r="6347" spans="1:6" x14ac:dyDescent="0.25">
      <c r="A6347" s="4" t="str">
        <f>CONCATENATE("3071-0000-1559","")</f>
        <v>3071-0000-1559</v>
      </c>
      <c r="B6347" s="4" t="s">
        <v>2317</v>
      </c>
      <c r="C6347" s="5">
        <v>41489</v>
      </c>
      <c r="D6347" s="5">
        <v>41549</v>
      </c>
      <c r="E6347" s="4" t="s">
        <v>1381</v>
      </c>
      <c r="F6347" s="4" t="s">
        <v>2303</v>
      </c>
    </row>
    <row r="6348" spans="1:6" x14ac:dyDescent="0.25">
      <c r="A6348" s="4" t="str">
        <f>CONCATENATE("3071-0000-2276","")</f>
        <v>3071-0000-2276</v>
      </c>
      <c r="B6348" s="4" t="s">
        <v>3799</v>
      </c>
      <c r="C6348" s="5">
        <v>41489</v>
      </c>
      <c r="D6348" s="5">
        <v>41549</v>
      </c>
      <c r="E6348" s="4" t="s">
        <v>2944</v>
      </c>
      <c r="F6348" s="4" t="s">
        <v>2945</v>
      </c>
    </row>
    <row r="6349" spans="1:6" x14ac:dyDescent="0.25">
      <c r="A6349" s="4" t="str">
        <f>CONCATENATE("3071-0000-6328","")</f>
        <v>3071-0000-6328</v>
      </c>
      <c r="B6349" s="4" t="s">
        <v>7327</v>
      </c>
      <c r="C6349" s="5">
        <v>41489</v>
      </c>
      <c r="D6349" s="5">
        <v>41549</v>
      </c>
      <c r="E6349" s="4" t="s">
        <v>1410</v>
      </c>
      <c r="F6349" s="4" t="s">
        <v>7309</v>
      </c>
    </row>
    <row r="6350" spans="1:6" x14ac:dyDescent="0.25">
      <c r="A6350" s="4" t="str">
        <f>CONCATENATE("3071-0000-2359","")</f>
        <v>3071-0000-2359</v>
      </c>
      <c r="B6350" s="4" t="s">
        <v>3569</v>
      </c>
      <c r="C6350" s="5">
        <v>41489</v>
      </c>
      <c r="D6350" s="5">
        <v>41549</v>
      </c>
      <c r="E6350" s="4" t="s">
        <v>2944</v>
      </c>
      <c r="F6350" s="4" t="s">
        <v>2945</v>
      </c>
    </row>
    <row r="6351" spans="1:6" x14ac:dyDescent="0.25">
      <c r="A6351" s="4" t="str">
        <f>CONCATENATE("3071-0000-1890","")</f>
        <v>3071-0000-1890</v>
      </c>
      <c r="B6351" s="4" t="s">
        <v>2957</v>
      </c>
      <c r="C6351" s="5">
        <v>41489</v>
      </c>
      <c r="D6351" s="5">
        <v>41549</v>
      </c>
      <c r="E6351" s="4" t="s">
        <v>2944</v>
      </c>
      <c r="F6351" s="4" t="s">
        <v>2945</v>
      </c>
    </row>
    <row r="6352" spans="1:6" x14ac:dyDescent="0.25">
      <c r="A6352" s="4" t="str">
        <f>CONCATENATE("3071-0000-8260","")</f>
        <v>3071-0000-8260</v>
      </c>
      <c r="B6352" s="4" t="s">
        <v>5848</v>
      </c>
      <c r="C6352" s="5">
        <v>41489</v>
      </c>
      <c r="D6352" s="5">
        <v>41549</v>
      </c>
      <c r="E6352" s="4" t="s">
        <v>5185</v>
      </c>
      <c r="F6352" s="4" t="s">
        <v>5185</v>
      </c>
    </row>
    <row r="6353" spans="1:6" x14ac:dyDescent="0.25">
      <c r="A6353" s="4" t="str">
        <f>CONCATENATE("3071-0000-5327","")</f>
        <v>3071-0000-5327</v>
      </c>
      <c r="B6353" s="4" t="s">
        <v>6671</v>
      </c>
      <c r="C6353" s="5">
        <v>41489</v>
      </c>
      <c r="D6353" s="5">
        <v>41549</v>
      </c>
      <c r="E6353" s="4" t="s">
        <v>5185</v>
      </c>
      <c r="F6353" s="4" t="s">
        <v>5185</v>
      </c>
    </row>
    <row r="6354" spans="1:6" x14ac:dyDescent="0.25">
      <c r="A6354" s="4" t="str">
        <f>CONCATENATE("3071-0000-2337","")</f>
        <v>3071-0000-2337</v>
      </c>
      <c r="B6354" s="4" t="s">
        <v>3436</v>
      </c>
      <c r="C6354" s="5">
        <v>41489</v>
      </c>
      <c r="D6354" s="5">
        <v>41549</v>
      </c>
      <c r="E6354" s="4" t="s">
        <v>2944</v>
      </c>
      <c r="F6354" s="4" t="s">
        <v>2945</v>
      </c>
    </row>
    <row r="6355" spans="1:6" x14ac:dyDescent="0.25">
      <c r="A6355" s="4" t="str">
        <f>CONCATENATE("3071-0000-8026","")</f>
        <v>3071-0000-8026</v>
      </c>
      <c r="B6355" s="4" t="s">
        <v>5696</v>
      </c>
      <c r="C6355" s="5">
        <v>41489</v>
      </c>
      <c r="D6355" s="5">
        <v>41549</v>
      </c>
      <c r="E6355" s="4" t="s">
        <v>5185</v>
      </c>
      <c r="F6355" s="4" t="s">
        <v>5185</v>
      </c>
    </row>
    <row r="6356" spans="1:6" x14ac:dyDescent="0.25">
      <c r="A6356" s="4" t="str">
        <f>CONCATENATE("3071-0000-9328","")</f>
        <v>3071-0000-9328</v>
      </c>
      <c r="B6356" s="4" t="s">
        <v>8598</v>
      </c>
      <c r="C6356" s="5">
        <v>41489</v>
      </c>
      <c r="D6356" s="5">
        <v>41549</v>
      </c>
      <c r="E6356" s="4" t="s">
        <v>5185</v>
      </c>
      <c r="F6356" s="4" t="s">
        <v>5185</v>
      </c>
    </row>
    <row r="6357" spans="1:6" x14ac:dyDescent="0.25">
      <c r="A6357" s="4" t="str">
        <f>CONCATENATE("3071-0000-9582","")</f>
        <v>3071-0000-9582</v>
      </c>
      <c r="B6357" s="4" t="s">
        <v>8347</v>
      </c>
      <c r="C6357" s="5">
        <v>41489</v>
      </c>
      <c r="D6357" s="5">
        <v>41549</v>
      </c>
      <c r="E6357" s="4" t="s">
        <v>1410</v>
      </c>
      <c r="F6357" s="4" t="s">
        <v>7967</v>
      </c>
    </row>
    <row r="6358" spans="1:6" x14ac:dyDescent="0.25">
      <c r="A6358" s="4" t="str">
        <f>CONCATENATE("3071-0000-3602","")</f>
        <v>3071-0000-3602</v>
      </c>
      <c r="B6358" s="4" t="s">
        <v>1611</v>
      </c>
      <c r="C6358" s="5">
        <v>41489</v>
      </c>
      <c r="D6358" s="5">
        <v>41549</v>
      </c>
      <c r="E6358" s="4" t="s">
        <v>1410</v>
      </c>
      <c r="F6358" s="4" t="s">
        <v>1411</v>
      </c>
    </row>
    <row r="6359" spans="1:6" x14ac:dyDescent="0.25">
      <c r="A6359" s="4" t="str">
        <f>CONCATENATE("3071-0000-1292","")</f>
        <v>3071-0000-1292</v>
      </c>
      <c r="B6359" s="4" t="s">
        <v>2402</v>
      </c>
      <c r="C6359" s="5">
        <v>41489</v>
      </c>
      <c r="D6359" s="5">
        <v>41549</v>
      </c>
      <c r="E6359" s="4" t="s">
        <v>1381</v>
      </c>
      <c r="F6359" s="4" t="s">
        <v>2303</v>
      </c>
    </row>
    <row r="6360" spans="1:6" x14ac:dyDescent="0.25">
      <c r="A6360" s="4" t="str">
        <f>CONCATENATE("3071-0000-9470","")</f>
        <v>3071-0000-9470</v>
      </c>
      <c r="B6360" s="4" t="s">
        <v>8410</v>
      </c>
      <c r="C6360" s="5">
        <v>41489</v>
      </c>
      <c r="D6360" s="5">
        <v>41549</v>
      </c>
      <c r="E6360" s="4" t="s">
        <v>1410</v>
      </c>
      <c r="F6360" s="4" t="s">
        <v>7967</v>
      </c>
    </row>
    <row r="6361" spans="1:6" x14ac:dyDescent="0.25">
      <c r="A6361" s="4" t="str">
        <f>CONCATENATE("3071-0000-9413","")</f>
        <v>3071-0000-9413</v>
      </c>
      <c r="B6361" s="4" t="s">
        <v>8499</v>
      </c>
      <c r="C6361" s="5">
        <v>41489</v>
      </c>
      <c r="D6361" s="5">
        <v>41549</v>
      </c>
      <c r="E6361" s="4" t="s">
        <v>1410</v>
      </c>
      <c r="F6361" s="4" t="s">
        <v>4459</v>
      </c>
    </row>
    <row r="6362" spans="1:6" x14ac:dyDescent="0.25">
      <c r="A6362" s="4" t="str">
        <f>CONCATENATE("3071-0000-3266","")</f>
        <v>3071-0000-3266</v>
      </c>
      <c r="B6362" s="4" t="s">
        <v>1034</v>
      </c>
      <c r="C6362" s="5">
        <v>41489</v>
      </c>
      <c r="D6362" s="5">
        <v>41549</v>
      </c>
      <c r="E6362" s="4" t="s">
        <v>7</v>
      </c>
      <c r="F6362" s="4" t="s">
        <v>808</v>
      </c>
    </row>
    <row r="6363" spans="1:6" x14ac:dyDescent="0.25">
      <c r="A6363" s="4" t="str">
        <f>CONCATENATE("3071-0000-2514","")</f>
        <v>3071-0000-2514</v>
      </c>
      <c r="B6363" s="4" t="s">
        <v>3619</v>
      </c>
      <c r="C6363" s="5">
        <v>41489</v>
      </c>
      <c r="D6363" s="5">
        <v>41549</v>
      </c>
      <c r="E6363" s="4" t="s">
        <v>2944</v>
      </c>
      <c r="F6363" s="4" t="s">
        <v>3567</v>
      </c>
    </row>
    <row r="6364" spans="1:6" x14ac:dyDescent="0.25">
      <c r="A6364" s="4" t="str">
        <f>CONCATENATE("3071-0000-7966","")</f>
        <v>3071-0000-7966</v>
      </c>
      <c r="B6364" s="4" t="s">
        <v>5373</v>
      </c>
      <c r="C6364" s="5">
        <v>41489</v>
      </c>
      <c r="D6364" s="5">
        <v>41549</v>
      </c>
      <c r="E6364" s="4" t="s">
        <v>5185</v>
      </c>
      <c r="F6364" s="4" t="s">
        <v>5185</v>
      </c>
    </row>
    <row r="6365" spans="1:6" x14ac:dyDescent="0.25">
      <c r="A6365" s="4" t="str">
        <f>CONCATENATE("3071-0000-7971","")</f>
        <v>3071-0000-7971</v>
      </c>
      <c r="B6365" s="4" t="s">
        <v>5367</v>
      </c>
      <c r="C6365" s="5">
        <v>41489</v>
      </c>
      <c r="D6365" s="5">
        <v>41549</v>
      </c>
      <c r="E6365" s="4" t="s">
        <v>5185</v>
      </c>
      <c r="F6365" s="4" t="s">
        <v>5185</v>
      </c>
    </row>
    <row r="6366" spans="1:6" x14ac:dyDescent="0.25">
      <c r="A6366" s="4" t="str">
        <f>CONCATENATE("3071-0000-3995","")</f>
        <v>3071-0000-3995</v>
      </c>
      <c r="B6366" s="4" t="s">
        <v>3867</v>
      </c>
      <c r="C6366" s="5">
        <v>41489</v>
      </c>
      <c r="D6366" s="5">
        <v>41549</v>
      </c>
      <c r="E6366" s="4" t="s">
        <v>2944</v>
      </c>
      <c r="F6366" s="4" t="s">
        <v>3513</v>
      </c>
    </row>
    <row r="6367" spans="1:6" x14ac:dyDescent="0.25">
      <c r="A6367" s="4" t="str">
        <f>CONCATENATE("3071-0000-6379","")</f>
        <v>3071-0000-6379</v>
      </c>
      <c r="B6367" s="4" t="s">
        <v>7912</v>
      </c>
      <c r="C6367" s="5">
        <v>41489</v>
      </c>
      <c r="D6367" s="5">
        <v>41549</v>
      </c>
      <c r="E6367" s="4" t="s">
        <v>5185</v>
      </c>
      <c r="F6367" s="4" t="s">
        <v>5185</v>
      </c>
    </row>
    <row r="6368" spans="1:6" x14ac:dyDescent="0.25">
      <c r="A6368" s="4" t="str">
        <f>CONCATENATE("3071-0000-7272","")</f>
        <v>3071-0000-7272</v>
      </c>
      <c r="B6368" s="4" t="s">
        <v>5130</v>
      </c>
      <c r="C6368" s="5">
        <v>41489</v>
      </c>
      <c r="D6368" s="5">
        <v>41549</v>
      </c>
      <c r="E6368" s="4" t="s">
        <v>1410</v>
      </c>
      <c r="F6368" s="4" t="s">
        <v>1410</v>
      </c>
    </row>
    <row r="6369" spans="1:6" x14ac:dyDescent="0.25">
      <c r="A6369" s="4" t="str">
        <f>CONCATENATE("3071-0000-5737","")</f>
        <v>3071-0000-5737</v>
      </c>
      <c r="B6369" s="4" t="s">
        <v>7449</v>
      </c>
      <c r="C6369" s="5">
        <v>41489</v>
      </c>
      <c r="D6369" s="5">
        <v>41549</v>
      </c>
      <c r="E6369" s="4" t="s">
        <v>5185</v>
      </c>
      <c r="F6369" s="4" t="s">
        <v>5185</v>
      </c>
    </row>
    <row r="6370" spans="1:6" x14ac:dyDescent="0.25">
      <c r="A6370" s="4" t="str">
        <f>CONCATENATE("3071-0000-7371","")</f>
        <v>3071-0000-7371</v>
      </c>
      <c r="B6370" s="4" t="s">
        <v>4666</v>
      </c>
      <c r="C6370" s="5">
        <v>41489</v>
      </c>
      <c r="D6370" s="5">
        <v>41549</v>
      </c>
      <c r="E6370" s="4" t="s">
        <v>1410</v>
      </c>
      <c r="F6370" s="4" t="s">
        <v>1410</v>
      </c>
    </row>
    <row r="6371" spans="1:6" x14ac:dyDescent="0.25">
      <c r="A6371" s="4" t="str">
        <f>CONCATENATE("3071-0000-3950","")</f>
        <v>3071-0000-3950</v>
      </c>
      <c r="B6371" s="4" t="s">
        <v>3927</v>
      </c>
      <c r="C6371" s="5">
        <v>41489</v>
      </c>
      <c r="D6371" s="5">
        <v>41549</v>
      </c>
      <c r="E6371" s="4" t="s">
        <v>2944</v>
      </c>
      <c r="F6371" s="4" t="s">
        <v>3513</v>
      </c>
    </row>
    <row r="6372" spans="1:6" x14ac:dyDescent="0.25">
      <c r="A6372" s="4" t="str">
        <f>CONCATENATE("3071-0000-2515","")</f>
        <v>3071-0000-2515</v>
      </c>
      <c r="B6372" s="4" t="s">
        <v>3608</v>
      </c>
      <c r="C6372" s="5">
        <v>41489</v>
      </c>
      <c r="D6372" s="5">
        <v>41549</v>
      </c>
      <c r="E6372" s="4" t="s">
        <v>2944</v>
      </c>
      <c r="F6372" s="4" t="s">
        <v>3567</v>
      </c>
    </row>
    <row r="6373" spans="1:6" x14ac:dyDescent="0.25">
      <c r="A6373" s="4" t="str">
        <f>CONCATENATE("3071-0000-0482","")</f>
        <v>3071-0000-0482</v>
      </c>
      <c r="B6373" s="4" t="s">
        <v>448</v>
      </c>
      <c r="C6373" s="5">
        <v>41489</v>
      </c>
      <c r="D6373" s="5">
        <v>41549</v>
      </c>
      <c r="E6373" s="4" t="s">
        <v>7</v>
      </c>
      <c r="F6373" s="4" t="s">
        <v>7</v>
      </c>
    </row>
    <row r="6374" spans="1:6" x14ac:dyDescent="0.25">
      <c r="A6374" s="4" t="str">
        <f>CONCATENATE("3071-0000-1322","")</f>
        <v>3071-0000-1322</v>
      </c>
      <c r="B6374" s="4" t="s">
        <v>2445</v>
      </c>
      <c r="C6374" s="5">
        <v>41489</v>
      </c>
      <c r="D6374" s="5">
        <v>41549</v>
      </c>
      <c r="E6374" s="4" t="s">
        <v>1381</v>
      </c>
      <c r="F6374" s="4" t="s">
        <v>2303</v>
      </c>
    </row>
    <row r="6375" spans="1:6" x14ac:dyDescent="0.25">
      <c r="A6375" s="4" t="str">
        <f>CONCATENATE("3071-0000-6316","")</f>
        <v>3071-0000-6316</v>
      </c>
      <c r="B6375" s="4" t="s">
        <v>7344</v>
      </c>
      <c r="C6375" s="5">
        <v>41489</v>
      </c>
      <c r="D6375" s="5">
        <v>41549</v>
      </c>
      <c r="E6375" s="4" t="s">
        <v>1410</v>
      </c>
      <c r="F6375" s="4" t="s">
        <v>7309</v>
      </c>
    </row>
    <row r="6376" spans="1:6" x14ac:dyDescent="0.25">
      <c r="A6376" s="4" t="str">
        <f>CONCATENATE("3071-0000-6329","")</f>
        <v>3071-0000-6329</v>
      </c>
      <c r="B6376" s="4" t="s">
        <v>7376</v>
      </c>
      <c r="C6376" s="5">
        <v>41489</v>
      </c>
      <c r="D6376" s="5">
        <v>41549</v>
      </c>
      <c r="E6376" s="4" t="s">
        <v>1410</v>
      </c>
      <c r="F6376" s="4" t="s">
        <v>7309</v>
      </c>
    </row>
    <row r="6377" spans="1:6" x14ac:dyDescent="0.25">
      <c r="A6377" s="4" t="str">
        <f>CONCATENATE("3071-0000-5255","")</f>
        <v>3071-0000-5255</v>
      </c>
      <c r="B6377" s="4" t="s">
        <v>6723</v>
      </c>
      <c r="C6377" s="5">
        <v>41489</v>
      </c>
      <c r="D6377" s="5">
        <v>41549</v>
      </c>
      <c r="E6377" s="4" t="s">
        <v>5185</v>
      </c>
      <c r="F6377" s="4" t="s">
        <v>5185</v>
      </c>
    </row>
    <row r="6378" spans="1:6" x14ac:dyDescent="0.25">
      <c r="A6378" s="4" t="str">
        <f>CONCATENATE("3071-0000-4095","")</f>
        <v>3071-0000-4095</v>
      </c>
      <c r="B6378" s="4" t="s">
        <v>4201</v>
      </c>
      <c r="C6378" s="5">
        <v>41489</v>
      </c>
      <c r="D6378" s="5">
        <v>41549</v>
      </c>
      <c r="E6378" s="4" t="s">
        <v>7</v>
      </c>
      <c r="F6378" s="4" t="s">
        <v>1419</v>
      </c>
    </row>
    <row r="6379" spans="1:6" x14ac:dyDescent="0.25">
      <c r="A6379" s="4" t="str">
        <f>CONCATENATE("3071-0000-1674","")</f>
        <v>3071-0000-1674</v>
      </c>
      <c r="B6379" s="4" t="s">
        <v>2594</v>
      </c>
      <c r="C6379" s="5">
        <v>41489</v>
      </c>
      <c r="D6379" s="5">
        <v>41549</v>
      </c>
      <c r="E6379" s="4" t="s">
        <v>1381</v>
      </c>
      <c r="F6379" s="4" t="s">
        <v>2303</v>
      </c>
    </row>
    <row r="6380" spans="1:6" x14ac:dyDescent="0.25">
      <c r="A6380" s="4" t="str">
        <f>CONCATENATE("3071-0000-2520","")</f>
        <v>3071-0000-2520</v>
      </c>
      <c r="B6380" s="4" t="s">
        <v>3612</v>
      </c>
      <c r="C6380" s="5">
        <v>41489</v>
      </c>
      <c r="D6380" s="5">
        <v>41549</v>
      </c>
      <c r="E6380" s="4" t="s">
        <v>2944</v>
      </c>
      <c r="F6380" s="4" t="s">
        <v>3567</v>
      </c>
    </row>
    <row r="6381" spans="1:6" x14ac:dyDescent="0.25">
      <c r="A6381" s="4" t="str">
        <f>CONCATENATE("3071-0000-2511","")</f>
        <v>3071-0000-2511</v>
      </c>
      <c r="B6381" s="4" t="s">
        <v>3613</v>
      </c>
      <c r="C6381" s="5">
        <v>41489</v>
      </c>
      <c r="D6381" s="5">
        <v>41549</v>
      </c>
      <c r="E6381" s="4" t="s">
        <v>2944</v>
      </c>
      <c r="F6381" s="4" t="s">
        <v>3567</v>
      </c>
    </row>
    <row r="6382" spans="1:6" x14ac:dyDescent="0.25">
      <c r="A6382" s="4" t="str">
        <f>CONCATENATE("3071-0000-1376","")</f>
        <v>3071-0000-1376</v>
      </c>
      <c r="B6382" s="4" t="s">
        <v>2549</v>
      </c>
      <c r="C6382" s="5">
        <v>41489</v>
      </c>
      <c r="D6382" s="5">
        <v>41549</v>
      </c>
      <c r="E6382" s="4" t="s">
        <v>1381</v>
      </c>
      <c r="F6382" s="4" t="s">
        <v>2303</v>
      </c>
    </row>
    <row r="6383" spans="1:6" x14ac:dyDescent="0.25">
      <c r="A6383" s="4" t="str">
        <f>CONCATENATE("3071-0000-7301","")</f>
        <v>3071-0000-7301</v>
      </c>
      <c r="B6383" s="4" t="s">
        <v>4843</v>
      </c>
      <c r="C6383" s="5">
        <v>41489</v>
      </c>
      <c r="D6383" s="5">
        <v>41549</v>
      </c>
      <c r="E6383" s="4" t="s">
        <v>1410</v>
      </c>
      <c r="F6383" s="4" t="s">
        <v>1410</v>
      </c>
    </row>
    <row r="6384" spans="1:6" x14ac:dyDescent="0.25">
      <c r="A6384" s="4" t="str">
        <f>CONCATENATE("3071-0000-2500","")</f>
        <v>3071-0000-2500</v>
      </c>
      <c r="B6384" s="4" t="s">
        <v>3627</v>
      </c>
      <c r="C6384" s="5">
        <v>41489</v>
      </c>
      <c r="D6384" s="5">
        <v>41549</v>
      </c>
      <c r="E6384" s="4" t="s">
        <v>2944</v>
      </c>
      <c r="F6384" s="4" t="s">
        <v>3567</v>
      </c>
    </row>
    <row r="6385" spans="1:6" x14ac:dyDescent="0.25">
      <c r="A6385" s="4" t="str">
        <f>CONCATENATE("3071-0000-2521","")</f>
        <v>3071-0000-2521</v>
      </c>
      <c r="B6385" s="4" t="s">
        <v>3611</v>
      </c>
      <c r="C6385" s="5">
        <v>41489</v>
      </c>
      <c r="D6385" s="5">
        <v>41549</v>
      </c>
      <c r="E6385" s="4" t="s">
        <v>2944</v>
      </c>
      <c r="F6385" s="4" t="s">
        <v>3567</v>
      </c>
    </row>
    <row r="6386" spans="1:6" x14ac:dyDescent="0.25">
      <c r="A6386" s="4" t="str">
        <f>CONCATENATE("3071-0000-8665","")</f>
        <v>3071-0000-8665</v>
      </c>
      <c r="B6386" s="4" t="s">
        <v>6394</v>
      </c>
      <c r="C6386" s="5">
        <v>41489</v>
      </c>
      <c r="D6386" s="5">
        <v>41549</v>
      </c>
      <c r="E6386" s="4" t="s">
        <v>5185</v>
      </c>
      <c r="F6386" s="4" t="s">
        <v>5292</v>
      </c>
    </row>
    <row r="6387" spans="1:6" x14ac:dyDescent="0.25">
      <c r="A6387" s="4" t="str">
        <f>CONCATENATE("3071-0000-3920","")</f>
        <v>3071-0000-3920</v>
      </c>
      <c r="B6387" s="4" t="s">
        <v>4066</v>
      </c>
      <c r="C6387" s="5">
        <v>41489</v>
      </c>
      <c r="D6387" s="5">
        <v>41549</v>
      </c>
      <c r="E6387" s="4" t="s">
        <v>1381</v>
      </c>
      <c r="F6387" s="4" t="s">
        <v>4057</v>
      </c>
    </row>
    <row r="6388" spans="1:6" x14ac:dyDescent="0.25">
      <c r="A6388" s="4" t="str">
        <f>CONCATENATE("3071-0000-5871","")</f>
        <v>3071-0000-5871</v>
      </c>
      <c r="B6388" s="4" t="s">
        <v>7359</v>
      </c>
      <c r="C6388" s="5">
        <v>41489</v>
      </c>
      <c r="D6388" s="5">
        <v>41549</v>
      </c>
      <c r="E6388" s="4" t="s">
        <v>5185</v>
      </c>
      <c r="F6388" s="4" t="s">
        <v>5185</v>
      </c>
    </row>
    <row r="6389" spans="1:6" x14ac:dyDescent="0.25">
      <c r="A6389" s="4" t="str">
        <f>CONCATENATE("3071-0000-7293","")</f>
        <v>3071-0000-7293</v>
      </c>
      <c r="B6389" s="4" t="s">
        <v>5035</v>
      </c>
      <c r="C6389" s="5">
        <v>41489</v>
      </c>
      <c r="D6389" s="5">
        <v>41549</v>
      </c>
      <c r="E6389" s="4" t="s">
        <v>1410</v>
      </c>
      <c r="F6389" s="4" t="s">
        <v>1410</v>
      </c>
    </row>
    <row r="6390" spans="1:6" x14ac:dyDescent="0.25">
      <c r="A6390" s="4" t="str">
        <f>CONCATENATE("3071-0000-7367","")</f>
        <v>3071-0000-7367</v>
      </c>
      <c r="B6390" s="4" t="s">
        <v>4724</v>
      </c>
      <c r="C6390" s="5">
        <v>41489</v>
      </c>
      <c r="D6390" s="5">
        <v>41549</v>
      </c>
      <c r="E6390" s="4" t="s">
        <v>1410</v>
      </c>
      <c r="F6390" s="4" t="s">
        <v>1410</v>
      </c>
    </row>
    <row r="6391" spans="1:6" x14ac:dyDescent="0.25">
      <c r="A6391" s="4" t="str">
        <f>CONCATENATE("3071-0000-2823","")</f>
        <v>3071-0000-2823</v>
      </c>
      <c r="B6391" s="4" t="s">
        <v>1070</v>
      </c>
      <c r="C6391" s="5">
        <v>41489</v>
      </c>
      <c r="D6391" s="5">
        <v>41549</v>
      </c>
      <c r="E6391" s="4" t="s">
        <v>7</v>
      </c>
      <c r="F6391" s="4" t="s">
        <v>808</v>
      </c>
    </row>
    <row r="6392" spans="1:6" x14ac:dyDescent="0.25">
      <c r="A6392" s="4" t="str">
        <f>CONCATENATE("3071-0000-3771","")</f>
        <v>3071-0000-3771</v>
      </c>
      <c r="B6392" s="4" t="s">
        <v>1486</v>
      </c>
      <c r="C6392" s="5">
        <v>41489</v>
      </c>
      <c r="D6392" s="5">
        <v>41549</v>
      </c>
      <c r="E6392" s="4" t="s">
        <v>1410</v>
      </c>
      <c r="F6392" s="4" t="s">
        <v>1411</v>
      </c>
    </row>
    <row r="6393" spans="1:6" x14ac:dyDescent="0.25">
      <c r="A6393" s="4" t="str">
        <f>CONCATENATE("3071-0000-0531","")</f>
        <v>3071-0000-0531</v>
      </c>
      <c r="B6393" s="4" t="s">
        <v>429</v>
      </c>
      <c r="C6393" s="5">
        <v>41489</v>
      </c>
      <c r="D6393" s="5">
        <v>41549</v>
      </c>
      <c r="E6393" s="4" t="s">
        <v>7</v>
      </c>
      <c r="F6393" s="4" t="s">
        <v>7</v>
      </c>
    </row>
    <row r="6394" spans="1:6" x14ac:dyDescent="0.25">
      <c r="A6394" s="4" t="str">
        <f>CONCATENATE("3071-0000-3357","")</f>
        <v>3071-0000-3357</v>
      </c>
      <c r="B6394" s="4" t="s">
        <v>1489</v>
      </c>
      <c r="C6394" s="5">
        <v>41489</v>
      </c>
      <c r="D6394" s="5">
        <v>41549</v>
      </c>
      <c r="E6394" s="4" t="s">
        <v>1410</v>
      </c>
      <c r="F6394" s="4" t="s">
        <v>1411</v>
      </c>
    </row>
    <row r="6395" spans="1:6" x14ac:dyDescent="0.25">
      <c r="A6395" s="4" t="str">
        <f>CONCATENATE("3071-0000-7995","")</f>
        <v>3071-0000-7995</v>
      </c>
      <c r="B6395" s="4" t="s">
        <v>5388</v>
      </c>
      <c r="C6395" s="5">
        <v>41489</v>
      </c>
      <c r="D6395" s="5">
        <v>41549</v>
      </c>
      <c r="E6395" s="4" t="s">
        <v>5185</v>
      </c>
      <c r="F6395" s="4" t="s">
        <v>5185</v>
      </c>
    </row>
    <row r="6396" spans="1:6" x14ac:dyDescent="0.25">
      <c r="A6396" s="4" t="str">
        <f>CONCATENATE("3071-0000-8726","")</f>
        <v>3071-0000-8726</v>
      </c>
      <c r="B6396" s="4" t="s">
        <v>6535</v>
      </c>
      <c r="C6396" s="5">
        <v>41489</v>
      </c>
      <c r="D6396" s="5">
        <v>41549</v>
      </c>
      <c r="E6396" s="4" t="s">
        <v>5185</v>
      </c>
      <c r="F6396" s="4" t="s">
        <v>5292</v>
      </c>
    </row>
    <row r="6397" spans="1:6" x14ac:dyDescent="0.25">
      <c r="A6397" s="4" t="str">
        <f>CONCATENATE("3071-0000-7156","")</f>
        <v>3071-0000-7156</v>
      </c>
      <c r="B6397" s="4" t="s">
        <v>5000</v>
      </c>
      <c r="C6397" s="5">
        <v>41489</v>
      </c>
      <c r="D6397" s="5">
        <v>41549</v>
      </c>
      <c r="E6397" s="4" t="s">
        <v>1410</v>
      </c>
      <c r="F6397" s="4" t="s">
        <v>1410</v>
      </c>
    </row>
    <row r="6398" spans="1:6" x14ac:dyDescent="0.25">
      <c r="A6398" s="4" t="str">
        <f>CONCATENATE("3071-0000-3600","")</f>
        <v>3071-0000-3600</v>
      </c>
      <c r="B6398" s="4" t="s">
        <v>1836</v>
      </c>
      <c r="C6398" s="5">
        <v>41489</v>
      </c>
      <c r="D6398" s="5">
        <v>41549</v>
      </c>
      <c r="E6398" s="4" t="s">
        <v>1410</v>
      </c>
      <c r="F6398" s="4" t="s">
        <v>1411</v>
      </c>
    </row>
    <row r="6399" spans="1:6" x14ac:dyDescent="0.25">
      <c r="A6399" s="4" t="str">
        <f>CONCATENATE("3071-0000-0335","")</f>
        <v>3071-0000-0335</v>
      </c>
      <c r="B6399" s="4" t="s">
        <v>584</v>
      </c>
      <c r="C6399" s="5">
        <v>41489</v>
      </c>
      <c r="D6399" s="5">
        <v>41549</v>
      </c>
      <c r="E6399" s="4" t="s">
        <v>7</v>
      </c>
      <c r="F6399" s="4" t="s">
        <v>7</v>
      </c>
    </row>
    <row r="6400" spans="1:6" x14ac:dyDescent="0.25">
      <c r="A6400" s="4" t="str">
        <f>CONCATENATE("3071-0000-2752","")</f>
        <v>3071-0000-2752</v>
      </c>
      <c r="B6400" s="4" t="s">
        <v>817</v>
      </c>
      <c r="C6400" s="5">
        <v>41489</v>
      </c>
      <c r="D6400" s="5">
        <v>41549</v>
      </c>
      <c r="E6400" s="4" t="s">
        <v>7</v>
      </c>
      <c r="F6400" s="4" t="s">
        <v>808</v>
      </c>
    </row>
    <row r="6401" spans="1:6" x14ac:dyDescent="0.25">
      <c r="A6401" s="4" t="str">
        <f>CONCATENATE("3071-0000-2737","")</f>
        <v>3071-0000-2737</v>
      </c>
      <c r="B6401" s="4" t="s">
        <v>816</v>
      </c>
      <c r="C6401" s="5">
        <v>41489</v>
      </c>
      <c r="D6401" s="5">
        <v>41549</v>
      </c>
      <c r="E6401" s="4" t="s">
        <v>7</v>
      </c>
      <c r="F6401" s="4" t="s">
        <v>808</v>
      </c>
    </row>
    <row r="6402" spans="1:6" x14ac:dyDescent="0.25">
      <c r="A6402" s="4" t="str">
        <f>CONCATENATE("3071-0000-2909","")</f>
        <v>3071-0000-2909</v>
      </c>
      <c r="B6402" s="4" t="s">
        <v>906</v>
      </c>
      <c r="C6402" s="5">
        <v>41489</v>
      </c>
      <c r="D6402" s="5">
        <v>41549</v>
      </c>
      <c r="E6402" s="4" t="s">
        <v>7</v>
      </c>
      <c r="F6402" s="4" t="s">
        <v>808</v>
      </c>
    </row>
    <row r="6403" spans="1:6" x14ac:dyDescent="0.25">
      <c r="A6403" s="4" t="str">
        <f>CONCATENATE("3071-0000-1092","")</f>
        <v>3071-0000-1092</v>
      </c>
      <c r="B6403" s="4" t="s">
        <v>2186</v>
      </c>
      <c r="C6403" s="5">
        <v>41489</v>
      </c>
      <c r="D6403" s="5">
        <v>41549</v>
      </c>
      <c r="E6403" s="4" t="s">
        <v>1857</v>
      </c>
      <c r="F6403" s="4" t="s">
        <v>1857</v>
      </c>
    </row>
    <row r="6404" spans="1:6" x14ac:dyDescent="0.25">
      <c r="A6404" s="4" t="str">
        <f>CONCATENATE("3071-0000-8879","")</f>
        <v>3071-0000-8879</v>
      </c>
      <c r="B6404" s="4" t="s">
        <v>5933</v>
      </c>
      <c r="C6404" s="5">
        <v>41489</v>
      </c>
      <c r="D6404" s="5">
        <v>41549</v>
      </c>
      <c r="E6404" s="4" t="s">
        <v>5185</v>
      </c>
      <c r="F6404" s="4" t="s">
        <v>4188</v>
      </c>
    </row>
    <row r="6405" spans="1:6" x14ac:dyDescent="0.25">
      <c r="A6405" s="4" t="str">
        <f>CONCATENATE("3071-0000-0655","")</f>
        <v>3071-0000-0655</v>
      </c>
      <c r="B6405" s="4" t="s">
        <v>788</v>
      </c>
      <c r="C6405" s="5">
        <v>41489</v>
      </c>
      <c r="D6405" s="5">
        <v>41549</v>
      </c>
      <c r="E6405" s="4" t="s">
        <v>7</v>
      </c>
      <c r="F6405" s="4" t="s">
        <v>7</v>
      </c>
    </row>
    <row r="6406" spans="1:6" x14ac:dyDescent="0.25">
      <c r="A6406" s="4" t="str">
        <f>CONCATENATE("3071-0000-0023","")</f>
        <v>3071-0000-0023</v>
      </c>
      <c r="B6406" s="4" t="s">
        <v>40</v>
      </c>
      <c r="C6406" s="5">
        <v>41489</v>
      </c>
      <c r="D6406" s="5">
        <v>41549</v>
      </c>
      <c r="E6406" s="4" t="s">
        <v>7</v>
      </c>
      <c r="F6406" s="4" t="s">
        <v>7</v>
      </c>
    </row>
    <row r="6407" spans="1:6" x14ac:dyDescent="0.25">
      <c r="A6407" s="4" t="str">
        <f>CONCATENATE("3071-0000-3885","")</f>
        <v>3071-0000-3885</v>
      </c>
      <c r="B6407" s="4" t="s">
        <v>4097</v>
      </c>
      <c r="C6407" s="5">
        <v>41489</v>
      </c>
      <c r="D6407" s="5">
        <v>41549</v>
      </c>
      <c r="E6407" s="4" t="s">
        <v>2944</v>
      </c>
      <c r="F6407" s="4" t="s">
        <v>3513</v>
      </c>
    </row>
    <row r="6408" spans="1:6" x14ac:dyDescent="0.25">
      <c r="A6408" s="4" t="str">
        <f>CONCATENATE("3071-0000-2241","")</f>
        <v>3071-0000-2241</v>
      </c>
      <c r="B6408" s="4" t="s">
        <v>3767</v>
      </c>
      <c r="C6408" s="5">
        <v>41489</v>
      </c>
      <c r="D6408" s="5">
        <v>41549</v>
      </c>
      <c r="E6408" s="4" t="s">
        <v>2944</v>
      </c>
      <c r="F6408" s="4" t="s">
        <v>2945</v>
      </c>
    </row>
    <row r="6409" spans="1:6" x14ac:dyDescent="0.25">
      <c r="A6409" s="4" t="str">
        <f>CONCATENATE("3071-0000-2443","")</f>
        <v>3071-0000-2443</v>
      </c>
      <c r="B6409" s="4" t="s">
        <v>3669</v>
      </c>
      <c r="C6409" s="5">
        <v>41489</v>
      </c>
      <c r="D6409" s="5">
        <v>41549</v>
      </c>
      <c r="E6409" s="4" t="s">
        <v>2944</v>
      </c>
      <c r="F6409" s="4" t="s">
        <v>3164</v>
      </c>
    </row>
    <row r="6410" spans="1:6" x14ac:dyDescent="0.25">
      <c r="A6410" s="4" t="str">
        <f>CONCATENATE("3071-0000-2714","")</f>
        <v>3071-0000-2714</v>
      </c>
      <c r="B6410" s="4" t="s">
        <v>3121</v>
      </c>
      <c r="C6410" s="5">
        <v>41489</v>
      </c>
      <c r="D6410" s="5">
        <v>41549</v>
      </c>
      <c r="E6410" s="4" t="s">
        <v>2944</v>
      </c>
      <c r="F6410" s="4" t="s">
        <v>3115</v>
      </c>
    </row>
    <row r="6411" spans="1:6" x14ac:dyDescent="0.25">
      <c r="A6411" s="4" t="str">
        <f>CONCATENATE("3071-0000-1937","")</f>
        <v>3071-0000-1937</v>
      </c>
      <c r="B6411" s="4" t="s">
        <v>3041</v>
      </c>
      <c r="C6411" s="5">
        <v>41489</v>
      </c>
      <c r="D6411" s="5">
        <v>41549</v>
      </c>
      <c r="E6411" s="4" t="s">
        <v>2944</v>
      </c>
      <c r="F6411" s="4" t="s">
        <v>2945</v>
      </c>
    </row>
    <row r="6412" spans="1:6" x14ac:dyDescent="0.25">
      <c r="A6412" s="4" t="str">
        <f>CONCATENATE("3071-0000-2653","")</f>
        <v>3071-0000-2653</v>
      </c>
      <c r="B6412" s="4" t="s">
        <v>3497</v>
      </c>
      <c r="C6412" s="5">
        <v>41489</v>
      </c>
      <c r="D6412" s="5">
        <v>41549</v>
      </c>
      <c r="E6412" s="4" t="s">
        <v>2944</v>
      </c>
      <c r="F6412" s="4" t="s">
        <v>3434</v>
      </c>
    </row>
    <row r="6413" spans="1:6" x14ac:dyDescent="0.25">
      <c r="A6413" s="4" t="str">
        <f>CONCATENATE("3071-0000-1999","")</f>
        <v>3071-0000-1999</v>
      </c>
      <c r="B6413" s="4" t="s">
        <v>3147</v>
      </c>
      <c r="C6413" s="5">
        <v>41489</v>
      </c>
      <c r="D6413" s="5">
        <v>41549</v>
      </c>
      <c r="E6413" s="4" t="s">
        <v>2944</v>
      </c>
      <c r="F6413" s="4" t="s">
        <v>2945</v>
      </c>
    </row>
    <row r="6414" spans="1:6" x14ac:dyDescent="0.25">
      <c r="A6414" s="4" t="str">
        <f>CONCATENATE("3071-0000-3820","")</f>
        <v>3071-0000-3820</v>
      </c>
      <c r="B6414" s="4" t="s">
        <v>3871</v>
      </c>
      <c r="C6414" s="5">
        <v>41489</v>
      </c>
      <c r="D6414" s="5">
        <v>41549</v>
      </c>
      <c r="E6414" s="4" t="s">
        <v>2944</v>
      </c>
      <c r="F6414" s="4" t="s">
        <v>3513</v>
      </c>
    </row>
    <row r="6415" spans="1:6" x14ac:dyDescent="0.25">
      <c r="A6415" s="4" t="str">
        <f>CONCATENATE("3071-0000-2459","")</f>
        <v>3071-0000-2459</v>
      </c>
      <c r="B6415" s="4" t="s">
        <v>3474</v>
      </c>
      <c r="C6415" s="5">
        <v>41489</v>
      </c>
      <c r="D6415" s="5">
        <v>41549</v>
      </c>
      <c r="E6415" s="4" t="s">
        <v>2944</v>
      </c>
      <c r="F6415" s="4" t="s">
        <v>3434</v>
      </c>
    </row>
    <row r="6416" spans="1:6" x14ac:dyDescent="0.25">
      <c r="A6416" s="4" t="str">
        <f>CONCATENATE("3071-0000-2633","")</f>
        <v>3071-0000-2633</v>
      </c>
      <c r="B6416" s="4" t="s">
        <v>3780</v>
      </c>
      <c r="C6416" s="5">
        <v>41489</v>
      </c>
      <c r="D6416" s="5">
        <v>41549</v>
      </c>
      <c r="E6416" s="4" t="s">
        <v>2944</v>
      </c>
      <c r="F6416" s="4" t="s">
        <v>3115</v>
      </c>
    </row>
    <row r="6417" spans="1:6" x14ac:dyDescent="0.25">
      <c r="A6417" s="4" t="str">
        <f>CONCATENATE("3071-0000-8139","")</f>
        <v>3071-0000-8139</v>
      </c>
      <c r="B6417" s="4" t="s">
        <v>5979</v>
      </c>
      <c r="C6417" s="5">
        <v>41489</v>
      </c>
      <c r="D6417" s="5">
        <v>41549</v>
      </c>
      <c r="E6417" s="4" t="s">
        <v>5185</v>
      </c>
      <c r="F6417" s="4" t="s">
        <v>5185</v>
      </c>
    </row>
    <row r="6418" spans="1:6" x14ac:dyDescent="0.25">
      <c r="A6418" s="4" t="str">
        <f>CONCATENATE("3071-0000-1683","")</f>
        <v>3071-0000-1683</v>
      </c>
      <c r="B6418" s="4" t="s">
        <v>2605</v>
      </c>
      <c r="C6418" s="5">
        <v>41489</v>
      </c>
      <c r="D6418" s="5">
        <v>41549</v>
      </c>
      <c r="E6418" s="4" t="s">
        <v>1381</v>
      </c>
      <c r="F6418" s="4" t="s">
        <v>2303</v>
      </c>
    </row>
    <row r="6419" spans="1:6" x14ac:dyDescent="0.25">
      <c r="A6419" s="4" t="str">
        <f>CONCATENATE("3071-0000-1870","")</f>
        <v>3071-0000-1870</v>
      </c>
      <c r="B6419" s="4" t="s">
        <v>2606</v>
      </c>
      <c r="C6419" s="5">
        <v>41489</v>
      </c>
      <c r="D6419" s="5">
        <v>41549</v>
      </c>
      <c r="E6419" s="4" t="s">
        <v>1381</v>
      </c>
      <c r="F6419" s="4" t="s">
        <v>2303</v>
      </c>
    </row>
    <row r="6420" spans="1:6" x14ac:dyDescent="0.25">
      <c r="A6420" s="4" t="str">
        <f>CONCATENATE("3071-0000-0099","")</f>
        <v>3071-0000-0099</v>
      </c>
      <c r="B6420" s="4" t="s">
        <v>191</v>
      </c>
      <c r="C6420" s="5">
        <v>41489</v>
      </c>
      <c r="D6420" s="5">
        <v>41549</v>
      </c>
      <c r="E6420" s="4" t="s">
        <v>7</v>
      </c>
      <c r="F6420" s="4" t="s">
        <v>7</v>
      </c>
    </row>
    <row r="6421" spans="1:6" x14ac:dyDescent="0.25">
      <c r="A6421" s="4" t="str">
        <f>CONCATENATE("3071-0000-2018","")</f>
        <v>3071-0000-2018</v>
      </c>
      <c r="B6421" s="4" t="s">
        <v>3287</v>
      </c>
      <c r="C6421" s="5">
        <v>41489</v>
      </c>
      <c r="D6421" s="5">
        <v>41549</v>
      </c>
      <c r="E6421" s="4" t="s">
        <v>2944</v>
      </c>
      <c r="F6421" s="4" t="s">
        <v>2945</v>
      </c>
    </row>
    <row r="6422" spans="1:6" x14ac:dyDescent="0.25">
      <c r="A6422" s="4" t="str">
        <f>CONCATENATE("3071-0000-2284","")</f>
        <v>3071-0000-2284</v>
      </c>
      <c r="B6422" s="4" t="s">
        <v>3428</v>
      </c>
      <c r="C6422" s="5">
        <v>41489</v>
      </c>
      <c r="D6422" s="5">
        <v>41549</v>
      </c>
      <c r="E6422" s="4" t="s">
        <v>2944</v>
      </c>
      <c r="F6422" s="4" t="s">
        <v>2945</v>
      </c>
    </row>
    <row r="6423" spans="1:6" x14ac:dyDescent="0.25">
      <c r="A6423" s="4" t="str">
        <f>CONCATENATE("3071-0000-1305","")</f>
        <v>3071-0000-1305</v>
      </c>
      <c r="B6423" s="4" t="s">
        <v>2419</v>
      </c>
      <c r="C6423" s="5">
        <v>41489</v>
      </c>
      <c r="D6423" s="5">
        <v>41549</v>
      </c>
      <c r="E6423" s="4" t="s">
        <v>1381</v>
      </c>
      <c r="F6423" s="4" t="s">
        <v>2303</v>
      </c>
    </row>
    <row r="6424" spans="1:6" x14ac:dyDescent="0.25">
      <c r="A6424" s="4" t="str">
        <f>CONCATENATE("3071-0000-1011","")</f>
        <v>3071-0000-1011</v>
      </c>
      <c r="B6424" s="4" t="s">
        <v>2231</v>
      </c>
      <c r="C6424" s="5">
        <v>41489</v>
      </c>
      <c r="D6424" s="5">
        <v>41549</v>
      </c>
      <c r="E6424" s="4" t="s">
        <v>1857</v>
      </c>
      <c r="F6424" s="4" t="s">
        <v>1857</v>
      </c>
    </row>
    <row r="6425" spans="1:6" x14ac:dyDescent="0.25">
      <c r="A6425" s="4" t="str">
        <f>CONCATENATE("3071-0000-0945","")</f>
        <v>3071-0000-0945</v>
      </c>
      <c r="B6425" s="4" t="s">
        <v>2143</v>
      </c>
      <c r="C6425" s="5">
        <v>41489</v>
      </c>
      <c r="D6425" s="5">
        <v>41549</v>
      </c>
      <c r="E6425" s="4" t="s">
        <v>1857</v>
      </c>
      <c r="F6425" s="4" t="s">
        <v>2144</v>
      </c>
    </row>
    <row r="6426" spans="1:6" x14ac:dyDescent="0.25">
      <c r="A6426" s="4" t="str">
        <f>CONCATENATE("3071-0000-1075","")</f>
        <v>3071-0000-1075</v>
      </c>
      <c r="B6426" s="4" t="s">
        <v>2209</v>
      </c>
      <c r="C6426" s="5">
        <v>41489</v>
      </c>
      <c r="D6426" s="5">
        <v>41549</v>
      </c>
      <c r="E6426" s="4" t="s">
        <v>1857</v>
      </c>
      <c r="F6426" s="4" t="s">
        <v>1857</v>
      </c>
    </row>
    <row r="6427" spans="1:6" x14ac:dyDescent="0.25">
      <c r="A6427" s="4" t="str">
        <f>CONCATENATE("3071-0000-2299","")</f>
        <v>3071-0000-2299</v>
      </c>
      <c r="B6427" s="4" t="s">
        <v>3541</v>
      </c>
      <c r="C6427" s="5">
        <v>41489</v>
      </c>
      <c r="D6427" s="5">
        <v>41549</v>
      </c>
      <c r="E6427" s="4" t="s">
        <v>2944</v>
      </c>
      <c r="F6427" s="4" t="s">
        <v>2945</v>
      </c>
    </row>
    <row r="6428" spans="1:6" x14ac:dyDescent="0.25">
      <c r="A6428" s="4" t="str">
        <f>CONCATENATE("3071-0000-1179","")</f>
        <v>3071-0000-1179</v>
      </c>
      <c r="B6428" s="4" t="s">
        <v>2145</v>
      </c>
      <c r="C6428" s="5">
        <v>41489</v>
      </c>
      <c r="D6428" s="5">
        <v>41549</v>
      </c>
      <c r="E6428" s="4" t="s">
        <v>1857</v>
      </c>
      <c r="F6428" s="4" t="s">
        <v>2144</v>
      </c>
    </row>
    <row r="6429" spans="1:6" x14ac:dyDescent="0.25">
      <c r="A6429" s="4" t="str">
        <f>CONCATENATE("3071-0000-1071","")</f>
        <v>3071-0000-1071</v>
      </c>
      <c r="B6429" s="4" t="s">
        <v>2168</v>
      </c>
      <c r="C6429" s="5">
        <v>41489</v>
      </c>
      <c r="D6429" s="5">
        <v>41549</v>
      </c>
      <c r="E6429" s="4" t="s">
        <v>1857</v>
      </c>
      <c r="F6429" s="4" t="s">
        <v>1857</v>
      </c>
    </row>
    <row r="6430" spans="1:6" x14ac:dyDescent="0.25">
      <c r="A6430" s="4" t="str">
        <f>CONCATENATE("3071-0000-0922","")</f>
        <v>3071-0000-0922</v>
      </c>
      <c r="B6430" s="4" t="s">
        <v>2133</v>
      </c>
      <c r="C6430" s="5">
        <v>41489</v>
      </c>
      <c r="D6430" s="5">
        <v>41549</v>
      </c>
      <c r="E6430" s="4" t="s">
        <v>1857</v>
      </c>
      <c r="F6430" s="4" t="s">
        <v>1857</v>
      </c>
    </row>
    <row r="6431" spans="1:6" x14ac:dyDescent="0.25">
      <c r="A6431" s="4" t="str">
        <f>CONCATENATE("3071-0000-0982","")</f>
        <v>3071-0000-0982</v>
      </c>
      <c r="B6431" s="4" t="s">
        <v>2212</v>
      </c>
      <c r="C6431" s="5">
        <v>41489</v>
      </c>
      <c r="D6431" s="5">
        <v>41549</v>
      </c>
      <c r="E6431" s="4" t="s">
        <v>1857</v>
      </c>
      <c r="F6431" s="4" t="s">
        <v>1857</v>
      </c>
    </row>
    <row r="6432" spans="1:6" x14ac:dyDescent="0.25">
      <c r="A6432" s="4" t="str">
        <f>CONCATENATE("3071-0000-0358","")</f>
        <v>3071-0000-0358</v>
      </c>
      <c r="B6432" s="4" t="s">
        <v>499</v>
      </c>
      <c r="C6432" s="5">
        <v>41489</v>
      </c>
      <c r="D6432" s="5">
        <v>41549</v>
      </c>
      <c r="E6432" s="4" t="s">
        <v>7</v>
      </c>
      <c r="F6432" s="4" t="s">
        <v>7</v>
      </c>
    </row>
    <row r="6433" spans="1:6" x14ac:dyDescent="0.25">
      <c r="A6433" s="4" t="str">
        <f>CONCATENATE("3071-0000-4108","")</f>
        <v>3071-0000-4108</v>
      </c>
      <c r="B6433" s="4" t="s">
        <v>4156</v>
      </c>
      <c r="C6433" s="5">
        <v>41489</v>
      </c>
      <c r="D6433" s="5">
        <v>41549</v>
      </c>
      <c r="E6433" s="4" t="s">
        <v>7</v>
      </c>
      <c r="F6433" s="4" t="s">
        <v>1419</v>
      </c>
    </row>
    <row r="6434" spans="1:6" x14ac:dyDescent="0.25">
      <c r="A6434" s="4" t="str">
        <f>CONCATENATE("3071-0000-4109","")</f>
        <v>3071-0000-4109</v>
      </c>
      <c r="B6434" s="4" t="s">
        <v>4157</v>
      </c>
      <c r="C6434" s="5">
        <v>41489</v>
      </c>
      <c r="D6434" s="5">
        <v>41549</v>
      </c>
      <c r="E6434" s="4" t="s">
        <v>7</v>
      </c>
      <c r="F6434" s="4" t="s">
        <v>1419</v>
      </c>
    </row>
    <row r="6435" spans="1:6" x14ac:dyDescent="0.25">
      <c r="A6435" s="4" t="str">
        <f>CONCATENATE("3071-0000-3801","")</f>
        <v>3071-0000-3801</v>
      </c>
      <c r="B6435" s="4" t="s">
        <v>3855</v>
      </c>
      <c r="C6435" s="5">
        <v>41489</v>
      </c>
      <c r="D6435" s="5">
        <v>41549</v>
      </c>
      <c r="E6435" s="4" t="s">
        <v>7</v>
      </c>
      <c r="F6435" s="4" t="s">
        <v>3818</v>
      </c>
    </row>
    <row r="6436" spans="1:6" x14ac:dyDescent="0.25">
      <c r="A6436" s="4" t="str">
        <f>CONCATENATE("3071-0000-4012","")</f>
        <v>3071-0000-4012</v>
      </c>
      <c r="B6436" s="4" t="s">
        <v>3854</v>
      </c>
      <c r="C6436" s="5">
        <v>41489</v>
      </c>
      <c r="D6436" s="5">
        <v>41549</v>
      </c>
      <c r="E6436" s="4" t="s">
        <v>7</v>
      </c>
      <c r="F6436" s="4" t="s">
        <v>3818</v>
      </c>
    </row>
    <row r="6437" spans="1:6" x14ac:dyDescent="0.25">
      <c r="A6437" s="4" t="str">
        <f>CONCATENATE("3071-0000-4121","")</f>
        <v>3071-0000-4121</v>
      </c>
      <c r="B6437" s="4" t="s">
        <v>3843</v>
      </c>
      <c r="C6437" s="5">
        <v>41489</v>
      </c>
      <c r="D6437" s="5">
        <v>41549</v>
      </c>
      <c r="E6437" s="4" t="s">
        <v>7</v>
      </c>
      <c r="F6437" s="4" t="s">
        <v>3818</v>
      </c>
    </row>
    <row r="6438" spans="1:6" x14ac:dyDescent="0.25">
      <c r="A6438" s="4" t="str">
        <f>CONCATENATE("3071-0000-4188","")</f>
        <v>3071-0000-4188</v>
      </c>
      <c r="B6438" s="4" t="s">
        <v>3848</v>
      </c>
      <c r="C6438" s="5">
        <v>41489</v>
      </c>
      <c r="D6438" s="5">
        <v>41549</v>
      </c>
      <c r="E6438" s="4" t="s">
        <v>7</v>
      </c>
      <c r="F6438" s="4" t="s">
        <v>3818</v>
      </c>
    </row>
    <row r="6439" spans="1:6" x14ac:dyDescent="0.25">
      <c r="A6439" s="4" t="str">
        <f>CONCATENATE("3071-0000-7667","")</f>
        <v>3071-0000-7667</v>
      </c>
      <c r="B6439" s="4" t="s">
        <v>5159</v>
      </c>
      <c r="C6439" s="5">
        <v>41489</v>
      </c>
      <c r="D6439" s="5">
        <v>41549</v>
      </c>
      <c r="E6439" s="4" t="s">
        <v>1410</v>
      </c>
      <c r="F6439" s="4" t="s">
        <v>4616</v>
      </c>
    </row>
    <row r="6440" spans="1:6" x14ac:dyDescent="0.25">
      <c r="A6440" s="4" t="str">
        <f>CONCATENATE("3071-0000-3456","")</f>
        <v>3071-0000-3456</v>
      </c>
      <c r="B6440" s="4" t="s">
        <v>1744</v>
      </c>
      <c r="C6440" s="5">
        <v>41489</v>
      </c>
      <c r="D6440" s="5">
        <v>41549</v>
      </c>
      <c r="E6440" s="4" t="s">
        <v>1410</v>
      </c>
      <c r="F6440" s="4" t="s">
        <v>1411</v>
      </c>
    </row>
    <row r="6441" spans="1:6" x14ac:dyDescent="0.25">
      <c r="A6441" s="4" t="str">
        <f>CONCATENATE("3071-0000-7242","")</f>
        <v>3071-0000-7242</v>
      </c>
      <c r="B6441" s="4" t="s">
        <v>4920</v>
      </c>
      <c r="C6441" s="5">
        <v>41489</v>
      </c>
      <c r="D6441" s="5">
        <v>41549</v>
      </c>
      <c r="E6441" s="4" t="s">
        <v>1410</v>
      </c>
      <c r="F6441" s="4" t="s">
        <v>1410</v>
      </c>
    </row>
    <row r="6442" spans="1:6" x14ac:dyDescent="0.25">
      <c r="A6442" s="4" t="str">
        <f>CONCATENATE("3071-0000-4808","")</f>
        <v>3071-0000-4808</v>
      </c>
      <c r="B6442" s="4" t="s">
        <v>8945</v>
      </c>
      <c r="C6442" s="5">
        <v>41489</v>
      </c>
      <c r="D6442" s="5">
        <v>41549</v>
      </c>
      <c r="E6442" s="4" t="s">
        <v>1410</v>
      </c>
      <c r="F6442" s="4" t="s">
        <v>8696</v>
      </c>
    </row>
    <row r="6443" spans="1:6" x14ac:dyDescent="0.25">
      <c r="A6443" s="4" t="str">
        <f>CONCATENATE("3071-0000-8007","")</f>
        <v>3071-0000-8007</v>
      </c>
      <c r="B6443" s="4" t="s">
        <v>5516</v>
      </c>
      <c r="C6443" s="5">
        <v>41489</v>
      </c>
      <c r="D6443" s="5">
        <v>41549</v>
      </c>
      <c r="E6443" s="4" t="s">
        <v>5185</v>
      </c>
      <c r="F6443" s="4" t="s">
        <v>5185</v>
      </c>
    </row>
    <row r="6444" spans="1:6" x14ac:dyDescent="0.25">
      <c r="A6444" s="4" t="str">
        <f>CONCATENATE("3071-0000-1582","")</f>
        <v>3071-0000-1582</v>
      </c>
      <c r="B6444" s="4" t="s">
        <v>2884</v>
      </c>
      <c r="C6444" s="5">
        <v>41489</v>
      </c>
      <c r="D6444" s="5">
        <v>41549</v>
      </c>
      <c r="E6444" s="4" t="s">
        <v>1381</v>
      </c>
      <c r="F6444" s="4" t="s">
        <v>2303</v>
      </c>
    </row>
    <row r="6445" spans="1:6" x14ac:dyDescent="0.25">
      <c r="A6445" s="4" t="str">
        <f>CONCATENATE("3071-0000-1581","")</f>
        <v>3071-0000-1581</v>
      </c>
      <c r="B6445" s="4" t="s">
        <v>2878</v>
      </c>
      <c r="C6445" s="5">
        <v>41489</v>
      </c>
      <c r="D6445" s="5">
        <v>41549</v>
      </c>
      <c r="E6445" s="4" t="s">
        <v>1381</v>
      </c>
      <c r="F6445" s="4" t="s">
        <v>2303</v>
      </c>
    </row>
    <row r="6446" spans="1:6" x14ac:dyDescent="0.25">
      <c r="A6446" s="4" t="str">
        <f>CONCATENATE("3071-0000-9411","")</f>
        <v>3071-0000-9411</v>
      </c>
      <c r="B6446" s="4" t="s">
        <v>8487</v>
      </c>
      <c r="C6446" s="5">
        <v>41489</v>
      </c>
      <c r="D6446" s="5">
        <v>41549</v>
      </c>
      <c r="E6446" s="4" t="s">
        <v>1410</v>
      </c>
      <c r="F6446" s="4" t="s">
        <v>4459</v>
      </c>
    </row>
    <row r="6447" spans="1:6" x14ac:dyDescent="0.25">
      <c r="A6447" s="4" t="str">
        <f>CONCATENATE("3071-0000-9416","")</f>
        <v>3071-0000-9416</v>
      </c>
      <c r="B6447" s="4" t="s">
        <v>8512</v>
      </c>
      <c r="C6447" s="5">
        <v>41489</v>
      </c>
      <c r="D6447" s="5">
        <v>41549</v>
      </c>
      <c r="E6447" s="4" t="s">
        <v>1410</v>
      </c>
      <c r="F6447" s="4" t="s">
        <v>4459</v>
      </c>
    </row>
    <row r="6448" spans="1:6" x14ac:dyDescent="0.25">
      <c r="A6448" s="4" t="str">
        <f>CONCATENATE("3071-0000-9448","")</f>
        <v>3071-0000-9448</v>
      </c>
      <c r="B6448" s="4" t="s">
        <v>8508</v>
      </c>
      <c r="C6448" s="5">
        <v>41489</v>
      </c>
      <c r="D6448" s="5">
        <v>41549</v>
      </c>
      <c r="E6448" s="4" t="s">
        <v>1410</v>
      </c>
      <c r="F6448" s="4" t="s">
        <v>4459</v>
      </c>
    </row>
    <row r="6449" spans="1:6" x14ac:dyDescent="0.25">
      <c r="A6449" s="4" t="str">
        <f>CONCATENATE("3071-0000-8337","")</f>
        <v>3071-0000-8337</v>
      </c>
      <c r="B6449" s="4" t="s">
        <v>5867</v>
      </c>
      <c r="C6449" s="5">
        <v>41489</v>
      </c>
      <c r="D6449" s="5">
        <v>41549</v>
      </c>
      <c r="E6449" s="4" t="s">
        <v>5185</v>
      </c>
      <c r="F6449" s="4" t="s">
        <v>5185</v>
      </c>
    </row>
    <row r="6450" spans="1:6" x14ac:dyDescent="0.25">
      <c r="A6450" s="4" t="str">
        <f>CONCATENATE("3071-0000-1689","")</f>
        <v>3071-0000-1689</v>
      </c>
      <c r="B6450" s="4" t="s">
        <v>2888</v>
      </c>
      <c r="C6450" s="5">
        <v>41489</v>
      </c>
      <c r="D6450" s="5">
        <v>41549</v>
      </c>
      <c r="E6450" s="4" t="s">
        <v>1381</v>
      </c>
      <c r="F6450" s="4" t="s">
        <v>2840</v>
      </c>
    </row>
    <row r="6451" spans="1:6" x14ac:dyDescent="0.25">
      <c r="A6451" s="4" t="str">
        <f>CONCATENATE("3071-0000-4143","")</f>
        <v>3071-0000-4143</v>
      </c>
      <c r="B6451" s="4" t="s">
        <v>4199</v>
      </c>
      <c r="C6451" s="5">
        <v>41489</v>
      </c>
      <c r="D6451" s="5">
        <v>41549</v>
      </c>
      <c r="E6451" s="4" t="s">
        <v>7</v>
      </c>
      <c r="F6451" s="4" t="s">
        <v>1419</v>
      </c>
    </row>
    <row r="6452" spans="1:6" x14ac:dyDescent="0.25">
      <c r="A6452" s="4" t="str">
        <f>CONCATENATE("3071-0000-1800","")</f>
        <v>3071-0000-1800</v>
      </c>
      <c r="B6452" s="4" t="s">
        <v>2376</v>
      </c>
      <c r="C6452" s="5">
        <v>41489</v>
      </c>
      <c r="D6452" s="5">
        <v>41549</v>
      </c>
      <c r="E6452" s="4" t="s">
        <v>1381</v>
      </c>
      <c r="F6452" s="4" t="s">
        <v>2319</v>
      </c>
    </row>
    <row r="6453" spans="1:6" x14ac:dyDescent="0.25">
      <c r="A6453" s="4" t="str">
        <f>CONCATENATE("3071-0000-4317","")</f>
        <v>3071-0000-4317</v>
      </c>
      <c r="B6453" s="4" t="s">
        <v>8862</v>
      </c>
      <c r="C6453" s="5">
        <v>41489</v>
      </c>
      <c r="D6453" s="5">
        <v>41549</v>
      </c>
      <c r="E6453" s="4" t="s">
        <v>1410</v>
      </c>
      <c r="F6453" s="4" t="s">
        <v>8696</v>
      </c>
    </row>
    <row r="6454" spans="1:6" x14ac:dyDescent="0.25">
      <c r="A6454" s="4" t="str">
        <f>CONCATENATE("3071-0000-0135","")</f>
        <v>3071-0000-0135</v>
      </c>
      <c r="B6454" s="4" t="s">
        <v>308</v>
      </c>
      <c r="C6454" s="5">
        <v>41489</v>
      </c>
      <c r="D6454" s="5">
        <v>41549</v>
      </c>
      <c r="E6454" s="4" t="s">
        <v>7</v>
      </c>
      <c r="F6454" s="4" t="s">
        <v>7</v>
      </c>
    </row>
    <row r="6455" spans="1:6" x14ac:dyDescent="0.25">
      <c r="A6455" s="4" t="str">
        <f>CONCATENATE("3071-0000-0148","")</f>
        <v>3071-0000-0148</v>
      </c>
      <c r="B6455" s="4" t="s">
        <v>323</v>
      </c>
      <c r="C6455" s="5">
        <v>41489</v>
      </c>
      <c r="D6455" s="5">
        <v>41549</v>
      </c>
      <c r="E6455" s="4" t="s">
        <v>7</v>
      </c>
      <c r="F6455" s="4" t="s">
        <v>7</v>
      </c>
    </row>
    <row r="6456" spans="1:6" x14ac:dyDescent="0.25">
      <c r="A6456" s="4" t="str">
        <f>CONCATENATE("3071-0000-0333","")</f>
        <v>3071-0000-0333</v>
      </c>
      <c r="B6456" s="4" t="s">
        <v>306</v>
      </c>
      <c r="C6456" s="5">
        <v>41489</v>
      </c>
      <c r="D6456" s="5">
        <v>41549</v>
      </c>
      <c r="E6456" s="4" t="s">
        <v>7</v>
      </c>
      <c r="F6456" s="4" t="s">
        <v>7</v>
      </c>
    </row>
    <row r="6457" spans="1:6" x14ac:dyDescent="0.25">
      <c r="A6457" s="4" t="str">
        <f>CONCATENATE("3071-0000-4319","")</f>
        <v>3071-0000-4319</v>
      </c>
      <c r="B6457" s="4" t="s">
        <v>8860</v>
      </c>
      <c r="C6457" s="5">
        <v>41489</v>
      </c>
      <c r="D6457" s="5">
        <v>41549</v>
      </c>
      <c r="E6457" s="4" t="s">
        <v>1410</v>
      </c>
      <c r="F6457" s="4" t="s">
        <v>8696</v>
      </c>
    </row>
    <row r="6458" spans="1:6" x14ac:dyDescent="0.25">
      <c r="A6458" s="4" t="str">
        <f>CONCATENATE("3071-0000-4307","")</f>
        <v>3071-0000-4307</v>
      </c>
      <c r="B6458" s="4" t="s">
        <v>8861</v>
      </c>
      <c r="C6458" s="5">
        <v>41489</v>
      </c>
      <c r="D6458" s="5">
        <v>41549</v>
      </c>
      <c r="E6458" s="4" t="s">
        <v>1410</v>
      </c>
      <c r="F6458" s="4" t="s">
        <v>8696</v>
      </c>
    </row>
    <row r="6459" spans="1:6" x14ac:dyDescent="0.25">
      <c r="A6459" s="4" t="str">
        <f>CONCATENATE("3071-0000-7682","")</f>
        <v>3071-0000-7682</v>
      </c>
      <c r="B6459" s="4" t="s">
        <v>4478</v>
      </c>
      <c r="C6459" s="5">
        <v>41489</v>
      </c>
      <c r="D6459" s="5">
        <v>41549</v>
      </c>
      <c r="E6459" s="4" t="s">
        <v>1410</v>
      </c>
      <c r="F6459" s="4" t="s">
        <v>1410</v>
      </c>
    </row>
    <row r="6460" spans="1:6" x14ac:dyDescent="0.25">
      <c r="A6460" s="4" t="str">
        <f>CONCATENATE("3071-0000-6022","")</f>
        <v>3071-0000-6022</v>
      </c>
      <c r="B6460" s="4" t="s">
        <v>7188</v>
      </c>
      <c r="C6460" s="5">
        <v>41489</v>
      </c>
      <c r="D6460" s="5">
        <v>41549</v>
      </c>
      <c r="E6460" s="4" t="s">
        <v>7069</v>
      </c>
      <c r="F6460" s="4" t="s">
        <v>7183</v>
      </c>
    </row>
    <row r="6461" spans="1:6" x14ac:dyDescent="0.25">
      <c r="A6461" s="4" t="str">
        <f>CONCATENATE("3071-0000-6032","")</f>
        <v>3071-0000-6032</v>
      </c>
      <c r="B6461" s="4" t="s">
        <v>7223</v>
      </c>
      <c r="C6461" s="5">
        <v>41489</v>
      </c>
      <c r="D6461" s="5">
        <v>41549</v>
      </c>
      <c r="E6461" s="4" t="s">
        <v>7069</v>
      </c>
      <c r="F6461" s="4" t="s">
        <v>7183</v>
      </c>
    </row>
    <row r="6462" spans="1:6" x14ac:dyDescent="0.25">
      <c r="A6462" s="4" t="str">
        <f>CONCATENATE("3071-0000-4097","")</f>
        <v>3071-0000-4097</v>
      </c>
      <c r="B6462" s="4" t="s">
        <v>4169</v>
      </c>
      <c r="C6462" s="5">
        <v>41489</v>
      </c>
      <c r="D6462" s="5">
        <v>41549</v>
      </c>
      <c r="E6462" s="4" t="s">
        <v>7</v>
      </c>
      <c r="F6462" s="4" t="s">
        <v>1419</v>
      </c>
    </row>
    <row r="6463" spans="1:6" x14ac:dyDescent="0.25">
      <c r="A6463" s="4" t="str">
        <f>CONCATENATE("3071-0000-4160","")</f>
        <v>3071-0000-4160</v>
      </c>
      <c r="B6463" s="4" t="s">
        <v>4102</v>
      </c>
      <c r="C6463" s="5">
        <v>41489</v>
      </c>
      <c r="D6463" s="5">
        <v>41549</v>
      </c>
      <c r="E6463" s="4" t="s">
        <v>1381</v>
      </c>
      <c r="F6463" s="4" t="s">
        <v>3698</v>
      </c>
    </row>
    <row r="6464" spans="1:6" x14ac:dyDescent="0.25">
      <c r="A6464" s="4" t="str">
        <f>CONCATENATE("3071-0000-2982","")</f>
        <v>3071-0000-2982</v>
      </c>
      <c r="B6464" s="4" t="s">
        <v>1189</v>
      </c>
      <c r="C6464" s="5">
        <v>41489</v>
      </c>
      <c r="D6464" s="5">
        <v>41549</v>
      </c>
      <c r="E6464" s="4" t="s">
        <v>7</v>
      </c>
      <c r="F6464" s="4" t="s">
        <v>808</v>
      </c>
    </row>
    <row r="6465" spans="1:6" x14ac:dyDescent="0.25">
      <c r="A6465" s="4" t="str">
        <f>CONCATENATE("3071-0000-6031","")</f>
        <v>3071-0000-6031</v>
      </c>
      <c r="B6465" s="4" t="s">
        <v>7229</v>
      </c>
      <c r="C6465" s="5">
        <v>41489</v>
      </c>
      <c r="D6465" s="5">
        <v>41549</v>
      </c>
      <c r="E6465" s="4" t="s">
        <v>7069</v>
      </c>
      <c r="F6465" s="4" t="s">
        <v>7183</v>
      </c>
    </row>
    <row r="6466" spans="1:6" x14ac:dyDescent="0.25">
      <c r="A6466" s="4" t="str">
        <f>CONCATENATE("3071-0000-4302","")</f>
        <v>3071-0000-4302</v>
      </c>
      <c r="B6466" s="4" t="s">
        <v>8854</v>
      </c>
      <c r="C6466" s="5">
        <v>41489</v>
      </c>
      <c r="D6466" s="5">
        <v>41549</v>
      </c>
      <c r="E6466" s="4" t="s">
        <v>1410</v>
      </c>
      <c r="F6466" s="4" t="s">
        <v>8696</v>
      </c>
    </row>
    <row r="6467" spans="1:6" x14ac:dyDescent="0.25">
      <c r="A6467" s="4" t="str">
        <f>CONCATENATE("3071-0000-4924","")</f>
        <v>3071-0000-4924</v>
      </c>
      <c r="B6467" s="4" t="s">
        <v>8879</v>
      </c>
      <c r="C6467" s="5">
        <v>41489</v>
      </c>
      <c r="D6467" s="5">
        <v>41549</v>
      </c>
      <c r="E6467" s="4" t="s">
        <v>1410</v>
      </c>
      <c r="F6467" s="4" t="s">
        <v>8851</v>
      </c>
    </row>
    <row r="6468" spans="1:6" x14ac:dyDescent="0.25">
      <c r="A6468" s="4" t="str">
        <f>CONCATENATE("3071-0000-0079","")</f>
        <v>3071-0000-0079</v>
      </c>
      <c r="B6468" s="4" t="s">
        <v>145</v>
      </c>
      <c r="C6468" s="5">
        <v>41489</v>
      </c>
      <c r="D6468" s="5">
        <v>41549</v>
      </c>
      <c r="E6468" s="4" t="s">
        <v>7</v>
      </c>
      <c r="F6468" s="4" t="s">
        <v>7</v>
      </c>
    </row>
    <row r="6469" spans="1:6" x14ac:dyDescent="0.25">
      <c r="A6469" s="4" t="str">
        <f>CONCATENATE("3071-0000-6008","")</f>
        <v>3071-0000-6008</v>
      </c>
      <c r="B6469" s="4" t="s">
        <v>7569</v>
      </c>
      <c r="C6469" s="5">
        <v>41489</v>
      </c>
      <c r="D6469" s="5">
        <v>41549</v>
      </c>
      <c r="E6469" s="4" t="s">
        <v>5185</v>
      </c>
      <c r="F6469" s="4" t="s">
        <v>5185</v>
      </c>
    </row>
    <row r="6470" spans="1:6" x14ac:dyDescent="0.25">
      <c r="A6470" s="4" t="str">
        <f>CONCATENATE("3071-0000-5052","")</f>
        <v>3071-0000-5052</v>
      </c>
      <c r="B6470" s="4" t="s">
        <v>9388</v>
      </c>
      <c r="C6470" s="5">
        <v>41489</v>
      </c>
      <c r="D6470" s="5">
        <v>41549</v>
      </c>
      <c r="E6470" s="4" t="s">
        <v>7069</v>
      </c>
      <c r="F6470" s="4" t="s">
        <v>9210</v>
      </c>
    </row>
    <row r="6471" spans="1:6" x14ac:dyDescent="0.25">
      <c r="A6471" s="4" t="str">
        <f>CONCATENATE("3071-0000-5673","")</f>
        <v>3071-0000-5673</v>
      </c>
      <c r="B6471" s="4" t="s">
        <v>7544</v>
      </c>
      <c r="C6471" s="5">
        <v>41489</v>
      </c>
      <c r="D6471" s="5">
        <v>41549</v>
      </c>
      <c r="E6471" s="4" t="s">
        <v>5185</v>
      </c>
      <c r="F6471" s="4" t="s">
        <v>5185</v>
      </c>
    </row>
    <row r="6472" spans="1:6" x14ac:dyDescent="0.25">
      <c r="A6472" s="4" t="str">
        <f>CONCATENATE("3071-0000-5848","")</f>
        <v>3071-0000-5848</v>
      </c>
      <c r="B6472" s="4" t="s">
        <v>7352</v>
      </c>
      <c r="C6472" s="5">
        <v>41489</v>
      </c>
      <c r="D6472" s="5">
        <v>41549</v>
      </c>
      <c r="E6472" s="4" t="s">
        <v>5185</v>
      </c>
      <c r="F6472" s="4" t="s">
        <v>5185</v>
      </c>
    </row>
    <row r="6473" spans="1:6" x14ac:dyDescent="0.25">
      <c r="A6473" s="4" t="str">
        <f>CONCATENATE("3071-0000-5195","")</f>
        <v>3071-0000-5195</v>
      </c>
      <c r="B6473" s="4" t="s">
        <v>8778</v>
      </c>
      <c r="C6473" s="5">
        <v>41489</v>
      </c>
      <c r="D6473" s="5">
        <v>41549</v>
      </c>
      <c r="E6473" s="4" t="s">
        <v>1410</v>
      </c>
      <c r="F6473" s="4" t="s">
        <v>8696</v>
      </c>
    </row>
    <row r="6474" spans="1:6" x14ac:dyDescent="0.25">
      <c r="A6474" s="4" t="str">
        <f>CONCATENATE("3071-0000-4529","")</f>
        <v>3071-0000-4529</v>
      </c>
      <c r="B6474" s="4" t="s">
        <v>9549</v>
      </c>
      <c r="C6474" s="5">
        <v>41489</v>
      </c>
      <c r="D6474" s="5">
        <v>41549</v>
      </c>
      <c r="E6474" s="4" t="s">
        <v>1410</v>
      </c>
      <c r="F6474" s="4" t="s">
        <v>8696</v>
      </c>
    </row>
    <row r="6475" spans="1:6" x14ac:dyDescent="0.25">
      <c r="A6475" s="4" t="str">
        <f>CONCATENATE("3071-0000-6920","")</f>
        <v>3071-0000-6920</v>
      </c>
      <c r="B6475" s="4" t="s">
        <v>4609</v>
      </c>
      <c r="C6475" s="5">
        <v>41489</v>
      </c>
      <c r="D6475" s="5">
        <v>41549</v>
      </c>
      <c r="E6475" s="4" t="s">
        <v>1410</v>
      </c>
      <c r="F6475" s="4" t="s">
        <v>1410</v>
      </c>
    </row>
    <row r="6476" spans="1:6" x14ac:dyDescent="0.25">
      <c r="A6476" s="4" t="str">
        <f>CONCATENATE("3071-0000-4905","")</f>
        <v>3071-0000-4905</v>
      </c>
      <c r="B6476" s="4" t="s">
        <v>9656</v>
      </c>
      <c r="C6476" s="5">
        <v>41489</v>
      </c>
      <c r="D6476" s="5">
        <v>41549</v>
      </c>
      <c r="E6476" s="4" t="s">
        <v>7069</v>
      </c>
      <c r="F6476" s="4" t="s">
        <v>9554</v>
      </c>
    </row>
    <row r="6477" spans="1:6" x14ac:dyDescent="0.25">
      <c r="A6477" s="4" t="str">
        <f>CONCATENATE("3071-0000-7909","")</f>
        <v>3071-0000-7909</v>
      </c>
      <c r="B6477" s="4" t="s">
        <v>5599</v>
      </c>
      <c r="C6477" s="5">
        <v>41489</v>
      </c>
      <c r="D6477" s="5">
        <v>41549</v>
      </c>
      <c r="E6477" s="4" t="s">
        <v>5185</v>
      </c>
      <c r="F6477" s="4" t="s">
        <v>5185</v>
      </c>
    </row>
    <row r="6478" spans="1:6" x14ac:dyDescent="0.25">
      <c r="A6478" s="4" t="str">
        <f>CONCATENATE("3071-0000-7998","")</f>
        <v>3071-0000-7998</v>
      </c>
      <c r="B6478" s="4" t="s">
        <v>5384</v>
      </c>
      <c r="C6478" s="5">
        <v>41489</v>
      </c>
      <c r="D6478" s="5">
        <v>41549</v>
      </c>
      <c r="E6478" s="4" t="s">
        <v>5185</v>
      </c>
      <c r="F6478" s="4" t="s">
        <v>5185</v>
      </c>
    </row>
    <row r="6479" spans="1:6" x14ac:dyDescent="0.25">
      <c r="A6479" s="4" t="str">
        <f>CONCATENATE("3071-0000-5006","")</f>
        <v>3071-0000-5006</v>
      </c>
      <c r="B6479" s="4" t="s">
        <v>9017</v>
      </c>
      <c r="C6479" s="5">
        <v>41489</v>
      </c>
      <c r="D6479" s="5">
        <v>41549</v>
      </c>
      <c r="E6479" s="4" t="s">
        <v>7069</v>
      </c>
      <c r="F6479" s="4" t="s">
        <v>8783</v>
      </c>
    </row>
    <row r="6480" spans="1:6" x14ac:dyDescent="0.25">
      <c r="A6480" s="4" t="str">
        <f>CONCATENATE("3071-0000-4937","")</f>
        <v>3071-0000-4937</v>
      </c>
      <c r="B6480" s="4" t="s">
        <v>9321</v>
      </c>
      <c r="C6480" s="5">
        <v>41489</v>
      </c>
      <c r="D6480" s="5">
        <v>41549</v>
      </c>
      <c r="E6480" s="4" t="s">
        <v>7069</v>
      </c>
      <c r="F6480" s="4" t="s">
        <v>9210</v>
      </c>
    </row>
    <row r="6481" spans="1:6" x14ac:dyDescent="0.25">
      <c r="A6481" s="4" t="str">
        <f>CONCATENATE("3071-0000-7419","")</f>
        <v>3071-0000-7419</v>
      </c>
      <c r="B6481" s="4" t="s">
        <v>4348</v>
      </c>
      <c r="C6481" s="5">
        <v>41489</v>
      </c>
      <c r="D6481" s="5">
        <v>41549</v>
      </c>
      <c r="E6481" s="4" t="s">
        <v>1410</v>
      </c>
      <c r="F6481" s="4" t="s">
        <v>1410</v>
      </c>
    </row>
    <row r="6482" spans="1:6" x14ac:dyDescent="0.25">
      <c r="A6482" s="4" t="str">
        <f>CONCATENATE("3071-0000-5678","")</f>
        <v>3071-0000-5678</v>
      </c>
      <c r="B6482" s="4" t="s">
        <v>7549</v>
      </c>
      <c r="C6482" s="5">
        <v>41489</v>
      </c>
      <c r="D6482" s="5">
        <v>41549</v>
      </c>
      <c r="E6482" s="4" t="s">
        <v>5185</v>
      </c>
      <c r="F6482" s="4" t="s">
        <v>5185</v>
      </c>
    </row>
    <row r="6483" spans="1:6" x14ac:dyDescent="0.25">
      <c r="A6483" s="4" t="str">
        <f>CONCATENATE("3071-0000-7977","")</f>
        <v>3071-0000-7977</v>
      </c>
      <c r="B6483" s="4" t="s">
        <v>5369</v>
      </c>
      <c r="C6483" s="5">
        <v>41489</v>
      </c>
      <c r="D6483" s="5">
        <v>41549</v>
      </c>
      <c r="E6483" s="4" t="s">
        <v>5185</v>
      </c>
      <c r="F6483" s="4" t="s">
        <v>5185</v>
      </c>
    </row>
    <row r="6484" spans="1:6" x14ac:dyDescent="0.25">
      <c r="A6484" s="4" t="str">
        <f>CONCATENATE("3071-0000-7963","")</f>
        <v>3071-0000-7963</v>
      </c>
      <c r="B6484" s="4" t="s">
        <v>5378</v>
      </c>
      <c r="C6484" s="5">
        <v>41489</v>
      </c>
      <c r="D6484" s="5">
        <v>41549</v>
      </c>
      <c r="E6484" s="4" t="s">
        <v>5185</v>
      </c>
      <c r="F6484" s="4" t="s">
        <v>5185</v>
      </c>
    </row>
    <row r="6485" spans="1:6" x14ac:dyDescent="0.25">
      <c r="A6485" s="4" t="str">
        <f>CONCATENATE("3071-0000-4953","")</f>
        <v>3071-0000-4953</v>
      </c>
      <c r="B6485" s="4" t="s">
        <v>9242</v>
      </c>
      <c r="C6485" s="5">
        <v>41489</v>
      </c>
      <c r="D6485" s="5">
        <v>41549</v>
      </c>
      <c r="E6485" s="4" t="s">
        <v>7069</v>
      </c>
      <c r="F6485" s="4" t="s">
        <v>9210</v>
      </c>
    </row>
    <row r="6486" spans="1:6" x14ac:dyDescent="0.25">
      <c r="A6486" s="4" t="str">
        <f>CONCATENATE("3071-0000-4726","")</f>
        <v>3071-0000-4726</v>
      </c>
      <c r="B6486" s="4" t="s">
        <v>9687</v>
      </c>
      <c r="C6486" s="5">
        <v>41489</v>
      </c>
      <c r="D6486" s="5">
        <v>41549</v>
      </c>
      <c r="E6486" s="4" t="s">
        <v>1410</v>
      </c>
      <c r="F6486" s="4" t="s">
        <v>8696</v>
      </c>
    </row>
    <row r="6487" spans="1:6" x14ac:dyDescent="0.25">
      <c r="A6487" s="4" t="str">
        <f>CONCATENATE("3071-0000-9170","")</f>
        <v>3071-0000-9170</v>
      </c>
      <c r="B6487" s="4" t="s">
        <v>6159</v>
      </c>
      <c r="C6487" s="5">
        <v>41489</v>
      </c>
      <c r="D6487" s="5">
        <v>41549</v>
      </c>
      <c r="E6487" s="4" t="s">
        <v>5185</v>
      </c>
      <c r="F6487" s="4" t="s">
        <v>5945</v>
      </c>
    </row>
    <row r="6488" spans="1:6" x14ac:dyDescent="0.25">
      <c r="A6488" s="4" t="str">
        <f>CONCATENATE("3071-0000-5672","")</f>
        <v>3071-0000-5672</v>
      </c>
      <c r="B6488" s="4" t="s">
        <v>7543</v>
      </c>
      <c r="C6488" s="5">
        <v>41489</v>
      </c>
      <c r="D6488" s="5">
        <v>41549</v>
      </c>
      <c r="E6488" s="4" t="s">
        <v>5185</v>
      </c>
      <c r="F6488" s="4" t="s">
        <v>5185</v>
      </c>
    </row>
    <row r="6489" spans="1:6" x14ac:dyDescent="0.25">
      <c r="A6489" s="4" t="str">
        <f>CONCATENATE("3071-0000-7969","")</f>
        <v>3071-0000-7969</v>
      </c>
      <c r="B6489" s="4" t="s">
        <v>5365</v>
      </c>
      <c r="C6489" s="5">
        <v>41489</v>
      </c>
      <c r="D6489" s="5">
        <v>41549</v>
      </c>
      <c r="E6489" s="4" t="s">
        <v>5185</v>
      </c>
      <c r="F6489" s="4" t="s">
        <v>5185</v>
      </c>
    </row>
    <row r="6490" spans="1:6" x14ac:dyDescent="0.25">
      <c r="A6490" s="4" t="str">
        <f>CONCATENATE("3071-0000-7176","")</f>
        <v>3071-0000-7176</v>
      </c>
      <c r="B6490" s="4" t="s">
        <v>5116</v>
      </c>
      <c r="C6490" s="5">
        <v>41489</v>
      </c>
      <c r="D6490" s="5">
        <v>41549</v>
      </c>
      <c r="E6490" s="4" t="s">
        <v>1410</v>
      </c>
      <c r="F6490" s="4" t="s">
        <v>1410</v>
      </c>
    </row>
    <row r="6491" spans="1:6" x14ac:dyDescent="0.25">
      <c r="A6491" s="4" t="str">
        <f>CONCATENATE("3071-0000-7210","")</f>
        <v>3071-0000-7210</v>
      </c>
      <c r="B6491" s="4" t="s">
        <v>5104</v>
      </c>
      <c r="C6491" s="5">
        <v>41489</v>
      </c>
      <c r="D6491" s="5">
        <v>41549</v>
      </c>
      <c r="E6491" s="4" t="s">
        <v>1410</v>
      </c>
      <c r="F6491" s="4" t="s">
        <v>1410</v>
      </c>
    </row>
    <row r="6492" spans="1:6" x14ac:dyDescent="0.25">
      <c r="A6492" s="4" t="str">
        <f>CONCATENATE("3071-0000-6511","")</f>
        <v>3071-0000-6511</v>
      </c>
      <c r="B6492" s="4" t="s">
        <v>7931</v>
      </c>
      <c r="C6492" s="5">
        <v>41489</v>
      </c>
      <c r="D6492" s="5">
        <v>41549</v>
      </c>
      <c r="E6492" s="4" t="s">
        <v>5185</v>
      </c>
      <c r="F6492" s="4" t="s">
        <v>5185</v>
      </c>
    </row>
    <row r="6493" spans="1:6" x14ac:dyDescent="0.25">
      <c r="A6493" s="4" t="str">
        <f>CONCATENATE("3071-0000-4604","")</f>
        <v>3071-0000-4604</v>
      </c>
      <c r="B6493" s="4" t="s">
        <v>9132</v>
      </c>
      <c r="C6493" s="5">
        <v>41489</v>
      </c>
      <c r="D6493" s="5">
        <v>41549</v>
      </c>
      <c r="E6493" s="4" t="s">
        <v>1410</v>
      </c>
      <c r="F6493" s="4" t="s">
        <v>8696</v>
      </c>
    </row>
    <row r="6494" spans="1:6" x14ac:dyDescent="0.25">
      <c r="A6494" s="4" t="str">
        <f>CONCATENATE("3071-0000-5919","")</f>
        <v>3071-0000-5919</v>
      </c>
      <c r="B6494" s="4" t="s">
        <v>7542</v>
      </c>
      <c r="C6494" s="5">
        <v>41489</v>
      </c>
      <c r="D6494" s="5">
        <v>41549</v>
      </c>
      <c r="E6494" s="4" t="s">
        <v>5185</v>
      </c>
      <c r="F6494" s="4" t="s">
        <v>5185</v>
      </c>
    </row>
    <row r="6495" spans="1:6" x14ac:dyDescent="0.25">
      <c r="A6495" s="4" t="str">
        <f>CONCATENATE("3071-0000-4678","")</f>
        <v>3071-0000-4678</v>
      </c>
      <c r="B6495" s="4" t="s">
        <v>9192</v>
      </c>
      <c r="C6495" s="5">
        <v>41489</v>
      </c>
      <c r="D6495" s="5">
        <v>41549</v>
      </c>
      <c r="E6495" s="4" t="s">
        <v>1410</v>
      </c>
      <c r="F6495" s="4" t="s">
        <v>8696</v>
      </c>
    </row>
    <row r="6496" spans="1:6" x14ac:dyDescent="0.25">
      <c r="A6496" s="4" t="str">
        <f>CONCATENATE("3071-0000-7964","")</f>
        <v>3071-0000-7964</v>
      </c>
      <c r="B6496" s="4" t="s">
        <v>5377</v>
      </c>
      <c r="C6496" s="5">
        <v>41489</v>
      </c>
      <c r="D6496" s="5">
        <v>41549</v>
      </c>
      <c r="E6496" s="4" t="s">
        <v>5185</v>
      </c>
      <c r="F6496" s="4" t="s">
        <v>5185</v>
      </c>
    </row>
    <row r="6497" spans="1:6" x14ac:dyDescent="0.25">
      <c r="A6497" s="4" t="str">
        <f>CONCATENATE("3071-0000-5680","")</f>
        <v>3071-0000-5680</v>
      </c>
      <c r="B6497" s="4" t="s">
        <v>7552</v>
      </c>
      <c r="C6497" s="5">
        <v>41489</v>
      </c>
      <c r="D6497" s="5">
        <v>41549</v>
      </c>
      <c r="E6497" s="4" t="s">
        <v>5185</v>
      </c>
      <c r="F6497" s="4" t="s">
        <v>5185</v>
      </c>
    </row>
    <row r="6498" spans="1:6" x14ac:dyDescent="0.25">
      <c r="A6498" s="4" t="str">
        <f>CONCATENATE("3071-0000-5584","")</f>
        <v>3071-0000-5584</v>
      </c>
      <c r="B6498" s="4" t="s">
        <v>7476</v>
      </c>
      <c r="C6498" s="5">
        <v>41489</v>
      </c>
      <c r="D6498" s="5">
        <v>41549</v>
      </c>
      <c r="E6498" s="4" t="s">
        <v>5185</v>
      </c>
      <c r="F6498" s="4" t="s">
        <v>5185</v>
      </c>
    </row>
    <row r="6499" spans="1:6" x14ac:dyDescent="0.25">
      <c r="A6499" s="4" t="str">
        <f>CONCATENATE("3071-0000-4801","")</f>
        <v>3071-0000-4801</v>
      </c>
      <c r="B6499" s="4" t="s">
        <v>9690</v>
      </c>
      <c r="C6499" s="5">
        <v>41489</v>
      </c>
      <c r="D6499" s="5">
        <v>41549</v>
      </c>
      <c r="E6499" s="4" t="s">
        <v>1410</v>
      </c>
      <c r="F6499" s="4" t="s">
        <v>8696</v>
      </c>
    </row>
    <row r="6500" spans="1:6" x14ac:dyDescent="0.25">
      <c r="A6500" s="4" t="str">
        <f>CONCATENATE("3071-0000-7519","")</f>
        <v>3071-0000-7519</v>
      </c>
      <c r="B6500" s="4" t="s">
        <v>5143</v>
      </c>
      <c r="C6500" s="5">
        <v>41489</v>
      </c>
      <c r="D6500" s="5">
        <v>41549</v>
      </c>
      <c r="E6500" s="4" t="s">
        <v>1410</v>
      </c>
      <c r="F6500" s="4" t="s">
        <v>4616</v>
      </c>
    </row>
    <row r="6501" spans="1:6" x14ac:dyDescent="0.25">
      <c r="A6501" s="4" t="str">
        <f>CONCATENATE("3071-0000-4719","")</f>
        <v>3071-0000-4719</v>
      </c>
      <c r="B6501" s="4" t="s">
        <v>9678</v>
      </c>
      <c r="C6501" s="5">
        <v>41489</v>
      </c>
      <c r="D6501" s="5">
        <v>41549</v>
      </c>
      <c r="E6501" s="4" t="s">
        <v>1410</v>
      </c>
      <c r="F6501" s="4" t="s">
        <v>8696</v>
      </c>
    </row>
    <row r="6502" spans="1:6" x14ac:dyDescent="0.25">
      <c r="A6502" s="4" t="str">
        <f>CONCATENATE("3071-0000-9139","")</f>
        <v>3071-0000-9139</v>
      </c>
      <c r="B6502" s="4" t="s">
        <v>5230</v>
      </c>
      <c r="C6502" s="5">
        <v>41489</v>
      </c>
      <c r="D6502" s="5">
        <v>41549</v>
      </c>
      <c r="E6502" s="4" t="s">
        <v>5185</v>
      </c>
      <c r="F6502" s="4" t="s">
        <v>5185</v>
      </c>
    </row>
    <row r="6503" spans="1:6" x14ac:dyDescent="0.25">
      <c r="A6503" s="4" t="str">
        <f>CONCATENATE("3071-0000-8128","")</f>
        <v>3071-0000-8128</v>
      </c>
      <c r="B6503" s="4" t="s">
        <v>6004</v>
      </c>
      <c r="C6503" s="5">
        <v>41489</v>
      </c>
      <c r="D6503" s="5">
        <v>41549</v>
      </c>
      <c r="E6503" s="4" t="s">
        <v>5185</v>
      </c>
      <c r="F6503" s="4" t="s">
        <v>5185</v>
      </c>
    </row>
    <row r="6504" spans="1:6" x14ac:dyDescent="0.25">
      <c r="A6504" s="4" t="str">
        <f>CONCATENATE("3071-0000-8041","")</f>
        <v>3071-0000-8041</v>
      </c>
      <c r="B6504" s="4" t="s">
        <v>5781</v>
      </c>
      <c r="C6504" s="5">
        <v>41489</v>
      </c>
      <c r="D6504" s="5">
        <v>41549</v>
      </c>
      <c r="E6504" s="4" t="s">
        <v>5185</v>
      </c>
      <c r="F6504" s="4" t="s">
        <v>5185</v>
      </c>
    </row>
    <row r="6505" spans="1:6" x14ac:dyDescent="0.25">
      <c r="A6505" s="4" t="str">
        <f>CONCATENATE("3071-0000-9630","")</f>
        <v>3071-0000-9630</v>
      </c>
      <c r="B6505" s="4" t="s">
        <v>8287</v>
      </c>
      <c r="C6505" s="5">
        <v>41489</v>
      </c>
      <c r="D6505" s="5">
        <v>41549</v>
      </c>
      <c r="E6505" s="4" t="s">
        <v>1410</v>
      </c>
      <c r="F6505" s="4" t="s">
        <v>7967</v>
      </c>
    </row>
    <row r="6506" spans="1:6" x14ac:dyDescent="0.25">
      <c r="A6506" s="4" t="str">
        <f>CONCATENATE("3071-0000-8319","")</f>
        <v>3071-0000-8319</v>
      </c>
      <c r="B6506" s="4" t="s">
        <v>6327</v>
      </c>
      <c r="C6506" s="5">
        <v>41489</v>
      </c>
      <c r="D6506" s="5">
        <v>41549</v>
      </c>
      <c r="E6506" s="4" t="s">
        <v>5185</v>
      </c>
      <c r="F6506" s="4" t="s">
        <v>5185</v>
      </c>
    </row>
    <row r="6507" spans="1:6" x14ac:dyDescent="0.25">
      <c r="A6507" s="4" t="str">
        <f>CONCATENATE("3071-0000-7417","")</f>
        <v>3071-0000-7417</v>
      </c>
      <c r="B6507" s="4" t="s">
        <v>4754</v>
      </c>
      <c r="C6507" s="5">
        <v>41489</v>
      </c>
      <c r="D6507" s="5">
        <v>41549</v>
      </c>
      <c r="E6507" s="4" t="s">
        <v>1410</v>
      </c>
      <c r="F6507" s="4" t="s">
        <v>1410</v>
      </c>
    </row>
    <row r="6508" spans="1:6" x14ac:dyDescent="0.25">
      <c r="A6508" s="4" t="str">
        <f>CONCATENATE("3071-0000-3261","")</f>
        <v>3071-0000-3261</v>
      </c>
      <c r="B6508" s="4" t="s">
        <v>1056</v>
      </c>
      <c r="C6508" s="5">
        <v>41489</v>
      </c>
      <c r="D6508" s="5">
        <v>41549</v>
      </c>
      <c r="E6508" s="4" t="s">
        <v>7</v>
      </c>
      <c r="F6508" s="4" t="s">
        <v>808</v>
      </c>
    </row>
    <row r="6509" spans="1:6" x14ac:dyDescent="0.25">
      <c r="A6509" s="4" t="str">
        <f>CONCATENATE("3071-0000-1304","")</f>
        <v>3071-0000-1304</v>
      </c>
      <c r="B6509" s="4" t="s">
        <v>2418</v>
      </c>
      <c r="C6509" s="5">
        <v>41489</v>
      </c>
      <c r="D6509" s="5">
        <v>41549</v>
      </c>
      <c r="E6509" s="4" t="s">
        <v>1381</v>
      </c>
      <c r="F6509" s="4" t="s">
        <v>2303</v>
      </c>
    </row>
    <row r="6510" spans="1:6" x14ac:dyDescent="0.25">
      <c r="A6510" s="4" t="str">
        <f>CONCATENATE("3071-0000-1301","")</f>
        <v>3071-0000-1301</v>
      </c>
      <c r="B6510" s="4" t="s">
        <v>2414</v>
      </c>
      <c r="C6510" s="5">
        <v>41489</v>
      </c>
      <c r="D6510" s="5">
        <v>41549</v>
      </c>
      <c r="E6510" s="4" t="s">
        <v>1381</v>
      </c>
      <c r="F6510" s="4" t="s">
        <v>2303</v>
      </c>
    </row>
    <row r="6511" spans="1:6" x14ac:dyDescent="0.25">
      <c r="A6511" s="4" t="str">
        <f>CONCATENATE("3071-0000-5698","")</f>
        <v>3071-0000-5698</v>
      </c>
      <c r="B6511" s="4" t="s">
        <v>7430</v>
      </c>
      <c r="C6511" s="5">
        <v>41489</v>
      </c>
      <c r="D6511" s="5">
        <v>41549</v>
      </c>
      <c r="E6511" s="4" t="s">
        <v>5185</v>
      </c>
      <c r="F6511" s="4" t="s">
        <v>5185</v>
      </c>
    </row>
    <row r="6512" spans="1:6" x14ac:dyDescent="0.25">
      <c r="A6512" s="4" t="str">
        <f>CONCATENATE("3071-0000-0439","")</f>
        <v>3071-0000-0439</v>
      </c>
      <c r="B6512" s="4" t="s">
        <v>154</v>
      </c>
      <c r="C6512" s="5">
        <v>41489</v>
      </c>
      <c r="D6512" s="5">
        <v>41549</v>
      </c>
      <c r="E6512" s="4" t="s">
        <v>7</v>
      </c>
      <c r="F6512" s="4" t="s">
        <v>7</v>
      </c>
    </row>
    <row r="6513" spans="1:6" x14ac:dyDescent="0.25">
      <c r="A6513" s="4" t="str">
        <f>CONCATENATE("3071-0000-1838","")</f>
        <v>3071-0000-1838</v>
      </c>
      <c r="B6513" s="4" t="s">
        <v>2570</v>
      </c>
      <c r="C6513" s="5">
        <v>41489</v>
      </c>
      <c r="D6513" s="5">
        <v>41549</v>
      </c>
      <c r="E6513" s="4" t="s">
        <v>1381</v>
      </c>
      <c r="F6513" s="4" t="s">
        <v>2303</v>
      </c>
    </row>
    <row r="6514" spans="1:6" x14ac:dyDescent="0.25">
      <c r="A6514" s="4" t="str">
        <f>CONCATENATE("3071-0000-6562","")</f>
        <v>3071-0000-6562</v>
      </c>
      <c r="B6514" s="4" t="s">
        <v>7811</v>
      </c>
      <c r="C6514" s="5">
        <v>41489</v>
      </c>
      <c r="D6514" s="5">
        <v>41549</v>
      </c>
      <c r="E6514" s="4" t="s">
        <v>5185</v>
      </c>
      <c r="F6514" s="4" t="s">
        <v>5185</v>
      </c>
    </row>
    <row r="6515" spans="1:6" x14ac:dyDescent="0.25">
      <c r="A6515" s="4" t="str">
        <f>CONCATENATE("3071-0000-1630","")</f>
        <v>3071-0000-1630</v>
      </c>
      <c r="B6515" s="4" t="s">
        <v>2580</v>
      </c>
      <c r="C6515" s="5">
        <v>41489</v>
      </c>
      <c r="D6515" s="5">
        <v>41549</v>
      </c>
      <c r="E6515" s="4" t="s">
        <v>1381</v>
      </c>
      <c r="F6515" s="4" t="s">
        <v>2303</v>
      </c>
    </row>
    <row r="6516" spans="1:6" x14ac:dyDescent="0.25">
      <c r="A6516" s="4" t="str">
        <f>CONCATENATE("3071-0000-5709","")</f>
        <v>3071-0000-5709</v>
      </c>
      <c r="B6516" s="4" t="s">
        <v>7410</v>
      </c>
      <c r="C6516" s="5">
        <v>41489</v>
      </c>
      <c r="D6516" s="5">
        <v>41549</v>
      </c>
      <c r="E6516" s="4" t="s">
        <v>5185</v>
      </c>
      <c r="F6516" s="4" t="s">
        <v>5185</v>
      </c>
    </row>
    <row r="6517" spans="1:6" x14ac:dyDescent="0.25">
      <c r="A6517" s="4" t="str">
        <f>CONCATENATE("3071-0000-7303","")</f>
        <v>3071-0000-7303</v>
      </c>
      <c r="B6517" s="4" t="s">
        <v>4860</v>
      </c>
      <c r="C6517" s="5">
        <v>41489</v>
      </c>
      <c r="D6517" s="5">
        <v>41549</v>
      </c>
      <c r="E6517" s="4" t="s">
        <v>1410</v>
      </c>
      <c r="F6517" s="4" t="s">
        <v>1410</v>
      </c>
    </row>
    <row r="6518" spans="1:6" x14ac:dyDescent="0.25">
      <c r="A6518" s="4" t="str">
        <f>CONCATENATE("3071-0000-6348","")</f>
        <v>3071-0000-6348</v>
      </c>
      <c r="B6518" s="4" t="s">
        <v>7865</v>
      </c>
      <c r="C6518" s="5">
        <v>41489</v>
      </c>
      <c r="D6518" s="5">
        <v>41549</v>
      </c>
      <c r="E6518" s="4" t="s">
        <v>5185</v>
      </c>
      <c r="F6518" s="4" t="s">
        <v>5185</v>
      </c>
    </row>
    <row r="6519" spans="1:6" x14ac:dyDescent="0.25">
      <c r="A6519" s="4" t="str">
        <f>CONCATENATE("3071-0000-6571","")</f>
        <v>3071-0000-6571</v>
      </c>
      <c r="B6519" s="4" t="s">
        <v>7820</v>
      </c>
      <c r="C6519" s="5">
        <v>41489</v>
      </c>
      <c r="D6519" s="5">
        <v>41549</v>
      </c>
      <c r="E6519" s="4" t="s">
        <v>5185</v>
      </c>
      <c r="F6519" s="4" t="s">
        <v>5185</v>
      </c>
    </row>
    <row r="6520" spans="1:6" x14ac:dyDescent="0.25">
      <c r="A6520" s="4" t="str">
        <f>CONCATENATE("3071-0000-1781","")</f>
        <v>3071-0000-1781</v>
      </c>
      <c r="B6520" s="4" t="s">
        <v>2798</v>
      </c>
      <c r="C6520" s="5">
        <v>41489</v>
      </c>
      <c r="D6520" s="5">
        <v>41549</v>
      </c>
      <c r="E6520" s="4" t="s">
        <v>1381</v>
      </c>
      <c r="F6520" s="4" t="s">
        <v>2533</v>
      </c>
    </row>
    <row r="6521" spans="1:6" x14ac:dyDescent="0.25">
      <c r="A6521" s="4" t="str">
        <f>CONCATENATE("3071-0000-4573","")</f>
        <v>3071-0000-4573</v>
      </c>
      <c r="B6521" s="4" t="s">
        <v>9589</v>
      </c>
      <c r="C6521" s="5">
        <v>41489</v>
      </c>
      <c r="D6521" s="5">
        <v>41549</v>
      </c>
      <c r="E6521" s="4" t="s">
        <v>1410</v>
      </c>
      <c r="F6521" s="4" t="s">
        <v>8696</v>
      </c>
    </row>
    <row r="6522" spans="1:6" x14ac:dyDescent="0.25">
      <c r="A6522" s="4" t="str">
        <f>CONCATENATE("3071-0000-4967","")</f>
        <v>3071-0000-4967</v>
      </c>
      <c r="B6522" s="4" t="s">
        <v>9164</v>
      </c>
      <c r="C6522" s="5">
        <v>41489</v>
      </c>
      <c r="D6522" s="5">
        <v>41549</v>
      </c>
      <c r="E6522" s="4" t="s">
        <v>7069</v>
      </c>
      <c r="F6522" s="4" t="s">
        <v>7070</v>
      </c>
    </row>
    <row r="6523" spans="1:6" x14ac:dyDescent="0.25">
      <c r="A6523" s="4" t="str">
        <f>CONCATENATE("3071-0000-4957","")</f>
        <v>3071-0000-4957</v>
      </c>
      <c r="B6523" s="4" t="s">
        <v>9163</v>
      </c>
      <c r="C6523" s="5">
        <v>41489</v>
      </c>
      <c r="D6523" s="5">
        <v>41549</v>
      </c>
      <c r="E6523" s="4" t="s">
        <v>7069</v>
      </c>
      <c r="F6523" s="4" t="s">
        <v>7070</v>
      </c>
    </row>
    <row r="6524" spans="1:6" x14ac:dyDescent="0.25">
      <c r="A6524" s="4" t="str">
        <f>CONCATENATE("3071-0000-6353","")</f>
        <v>3071-0000-6353</v>
      </c>
      <c r="B6524" s="4" t="s">
        <v>7872</v>
      </c>
      <c r="C6524" s="5">
        <v>41489</v>
      </c>
      <c r="D6524" s="5">
        <v>41549</v>
      </c>
      <c r="E6524" s="4" t="s">
        <v>5185</v>
      </c>
      <c r="F6524" s="4" t="s">
        <v>5185</v>
      </c>
    </row>
    <row r="6525" spans="1:6" x14ac:dyDescent="0.25">
      <c r="A6525" s="4" t="str">
        <f>CONCATENATE("3071-0000-6370","")</f>
        <v>3071-0000-6370</v>
      </c>
      <c r="B6525" s="4" t="s">
        <v>7901</v>
      </c>
      <c r="C6525" s="5">
        <v>41489</v>
      </c>
      <c r="D6525" s="5">
        <v>41549</v>
      </c>
      <c r="E6525" s="4" t="s">
        <v>5185</v>
      </c>
      <c r="F6525" s="4" t="s">
        <v>5185</v>
      </c>
    </row>
    <row r="6526" spans="1:6" x14ac:dyDescent="0.25">
      <c r="A6526" s="4" t="str">
        <f>CONCATENATE("3071-0000-7660","")</f>
        <v>3071-0000-7660</v>
      </c>
      <c r="B6526" s="4" t="s">
        <v>4889</v>
      </c>
      <c r="C6526" s="5">
        <v>41489</v>
      </c>
      <c r="D6526" s="5">
        <v>41549</v>
      </c>
      <c r="E6526" s="4" t="s">
        <v>1410</v>
      </c>
      <c r="F6526" s="4" t="s">
        <v>4655</v>
      </c>
    </row>
    <row r="6527" spans="1:6" x14ac:dyDescent="0.25">
      <c r="A6527" s="4" t="str">
        <f>CONCATENATE("3071-0000-6752","")</f>
        <v>3071-0000-6752</v>
      </c>
      <c r="B6527" s="4" t="s">
        <v>7870</v>
      </c>
      <c r="C6527" s="5">
        <v>41489</v>
      </c>
      <c r="D6527" s="5">
        <v>41549</v>
      </c>
      <c r="E6527" s="4" t="s">
        <v>1410</v>
      </c>
      <c r="F6527" s="4" t="s">
        <v>4655</v>
      </c>
    </row>
    <row r="6528" spans="1:6" x14ac:dyDescent="0.25">
      <c r="A6528" s="4" t="str">
        <f>CONCATENATE("3071-0000-6829","")</f>
        <v>3071-0000-6829</v>
      </c>
      <c r="B6528" s="4" t="s">
        <v>7862</v>
      </c>
      <c r="C6528" s="5">
        <v>41489</v>
      </c>
      <c r="D6528" s="5">
        <v>41549</v>
      </c>
      <c r="E6528" s="4" t="s">
        <v>1410</v>
      </c>
      <c r="F6528" s="4" t="s">
        <v>4655</v>
      </c>
    </row>
    <row r="6529" spans="1:6" x14ac:dyDescent="0.25">
      <c r="A6529" s="4" t="str">
        <f>CONCATENATE("3071-0000-6342","")</f>
        <v>3071-0000-6342</v>
      </c>
      <c r="B6529" s="4" t="s">
        <v>7857</v>
      </c>
      <c r="C6529" s="5">
        <v>41489</v>
      </c>
      <c r="D6529" s="5">
        <v>41549</v>
      </c>
      <c r="E6529" s="4" t="s">
        <v>5185</v>
      </c>
      <c r="F6529" s="4" t="s">
        <v>5185</v>
      </c>
    </row>
    <row r="6530" spans="1:6" x14ac:dyDescent="0.25">
      <c r="A6530" s="4" t="str">
        <f>CONCATENATE("3071-0000-9263","")</f>
        <v>3071-0000-9263</v>
      </c>
      <c r="B6530" s="4" t="s">
        <v>8537</v>
      </c>
      <c r="C6530" s="5">
        <v>41489</v>
      </c>
      <c r="D6530" s="5">
        <v>41549</v>
      </c>
      <c r="E6530" s="4" t="s">
        <v>5185</v>
      </c>
      <c r="F6530" s="4" t="s">
        <v>5185</v>
      </c>
    </row>
    <row r="6531" spans="1:6" x14ac:dyDescent="0.25">
      <c r="A6531" s="4" t="str">
        <f>CONCATENATE("3071-0000-6914","")</f>
        <v>3071-0000-6914</v>
      </c>
      <c r="B6531" s="4" t="s">
        <v>4628</v>
      </c>
      <c r="C6531" s="5">
        <v>41489</v>
      </c>
      <c r="D6531" s="5">
        <v>41549</v>
      </c>
      <c r="E6531" s="4" t="s">
        <v>1410</v>
      </c>
      <c r="F6531" s="4" t="s">
        <v>1410</v>
      </c>
    </row>
    <row r="6532" spans="1:6" x14ac:dyDescent="0.25">
      <c r="A6532" s="4" t="str">
        <f>CONCATENATE("3071-0000-2498","")</f>
        <v>3071-0000-2498</v>
      </c>
      <c r="B6532" s="4" t="s">
        <v>3625</v>
      </c>
      <c r="C6532" s="5">
        <v>41489</v>
      </c>
      <c r="D6532" s="5">
        <v>41549</v>
      </c>
      <c r="E6532" s="4" t="s">
        <v>2944</v>
      </c>
      <c r="F6532" s="4" t="s">
        <v>3567</v>
      </c>
    </row>
    <row r="6533" spans="1:6" x14ac:dyDescent="0.25">
      <c r="A6533" s="4" t="str">
        <f>CONCATENATE("3071-0000-4613","")</f>
        <v>3071-0000-4613</v>
      </c>
      <c r="B6533" s="4" t="s">
        <v>9141</v>
      </c>
      <c r="C6533" s="5">
        <v>41489</v>
      </c>
      <c r="D6533" s="5">
        <v>41549</v>
      </c>
      <c r="E6533" s="4" t="s">
        <v>1410</v>
      </c>
      <c r="F6533" s="4" t="s">
        <v>8696</v>
      </c>
    </row>
    <row r="6534" spans="1:6" x14ac:dyDescent="0.25">
      <c r="A6534" s="4" t="str">
        <f>CONCATENATE("3071-0000-5733","")</f>
        <v>3071-0000-5733</v>
      </c>
      <c r="B6534" s="4" t="s">
        <v>7448</v>
      </c>
      <c r="C6534" s="5">
        <v>41489</v>
      </c>
      <c r="D6534" s="5">
        <v>41549</v>
      </c>
      <c r="E6534" s="4" t="s">
        <v>5185</v>
      </c>
      <c r="F6534" s="4" t="s">
        <v>5185</v>
      </c>
    </row>
    <row r="6535" spans="1:6" x14ac:dyDescent="0.25">
      <c r="A6535" s="4" t="str">
        <f>CONCATENATE("3071-0000-0253","")</f>
        <v>3071-0000-0253</v>
      </c>
      <c r="B6535" s="4" t="s">
        <v>557</v>
      </c>
      <c r="C6535" s="5">
        <v>41489</v>
      </c>
      <c r="D6535" s="5">
        <v>41549</v>
      </c>
      <c r="E6535" s="4" t="s">
        <v>7</v>
      </c>
      <c r="F6535" s="4" t="s">
        <v>7</v>
      </c>
    </row>
    <row r="6536" spans="1:6" x14ac:dyDescent="0.25">
      <c r="A6536" s="4" t="str">
        <f>CONCATENATE("3071-0000-6019","")</f>
        <v>3071-0000-6019</v>
      </c>
      <c r="B6536" s="4" t="s">
        <v>7046</v>
      </c>
      <c r="C6536" s="5">
        <v>41489</v>
      </c>
      <c r="D6536" s="5">
        <v>41549</v>
      </c>
      <c r="E6536" s="4" t="s">
        <v>1410</v>
      </c>
      <c r="F6536" s="4" t="s">
        <v>6798</v>
      </c>
    </row>
    <row r="6537" spans="1:6" x14ac:dyDescent="0.25">
      <c r="A6537" s="4" t="str">
        <f>CONCATENATE("3071-0000-6220","")</f>
        <v>3071-0000-6220</v>
      </c>
      <c r="B6537" s="4" t="s">
        <v>7052</v>
      </c>
      <c r="C6537" s="5">
        <v>41489</v>
      </c>
      <c r="D6537" s="5">
        <v>41549</v>
      </c>
      <c r="E6537" s="4" t="s">
        <v>1410</v>
      </c>
      <c r="F6537" s="4" t="s">
        <v>6798</v>
      </c>
    </row>
    <row r="6538" spans="1:6" x14ac:dyDescent="0.25">
      <c r="A6538" s="4" t="str">
        <f>CONCATENATE("3071-0000-7186","")</f>
        <v>3071-0000-7186</v>
      </c>
      <c r="B6538" s="4" t="s">
        <v>4949</v>
      </c>
      <c r="C6538" s="5">
        <v>41489</v>
      </c>
      <c r="D6538" s="5">
        <v>41549</v>
      </c>
      <c r="E6538" s="4" t="s">
        <v>1410</v>
      </c>
      <c r="F6538" s="4" t="s">
        <v>1410</v>
      </c>
    </row>
    <row r="6539" spans="1:6" x14ac:dyDescent="0.25">
      <c r="A6539" s="4" t="str">
        <f>CONCATENATE("3071-0000-6868","")</f>
        <v>3071-0000-6868</v>
      </c>
      <c r="B6539" s="4" t="s">
        <v>5126</v>
      </c>
      <c r="C6539" s="5">
        <v>41489</v>
      </c>
      <c r="D6539" s="5">
        <v>41549</v>
      </c>
      <c r="E6539" s="4" t="s">
        <v>1410</v>
      </c>
      <c r="F6539" s="4" t="s">
        <v>4616</v>
      </c>
    </row>
    <row r="6540" spans="1:6" x14ac:dyDescent="0.25">
      <c r="A6540" s="4" t="str">
        <f>CONCATENATE("3071-0000-5103","")</f>
        <v>3071-0000-5103</v>
      </c>
      <c r="B6540" s="4" t="s">
        <v>9142</v>
      </c>
      <c r="C6540" s="5">
        <v>41489</v>
      </c>
      <c r="D6540" s="5">
        <v>41549</v>
      </c>
      <c r="E6540" s="4" t="s">
        <v>7069</v>
      </c>
      <c r="F6540" s="4" t="s">
        <v>9125</v>
      </c>
    </row>
    <row r="6541" spans="1:6" x14ac:dyDescent="0.25">
      <c r="A6541" s="4" t="str">
        <f>CONCATENATE("3071-0000-4963","")</f>
        <v>3071-0000-4963</v>
      </c>
      <c r="B6541" s="4" t="s">
        <v>9157</v>
      </c>
      <c r="C6541" s="5">
        <v>41489</v>
      </c>
      <c r="D6541" s="5">
        <v>41549</v>
      </c>
      <c r="E6541" s="4" t="s">
        <v>7069</v>
      </c>
      <c r="F6541" s="4" t="s">
        <v>8783</v>
      </c>
    </row>
    <row r="6542" spans="1:6" x14ac:dyDescent="0.25">
      <c r="A6542" s="4" t="str">
        <f>CONCATENATE("3071-0000-4814","")</f>
        <v>3071-0000-4814</v>
      </c>
      <c r="B6542" s="4" t="s">
        <v>9259</v>
      </c>
      <c r="C6542" s="5">
        <v>41489</v>
      </c>
      <c r="D6542" s="5">
        <v>41549</v>
      </c>
      <c r="E6542" s="4" t="s">
        <v>1410</v>
      </c>
      <c r="F6542" s="4" t="s">
        <v>8696</v>
      </c>
    </row>
    <row r="6543" spans="1:6" x14ac:dyDescent="0.25">
      <c r="A6543" s="4" t="str">
        <f>CONCATENATE("3071-0000-9499","")</f>
        <v>3071-0000-9499</v>
      </c>
      <c r="B6543" s="4" t="s">
        <v>8564</v>
      </c>
      <c r="C6543" s="5">
        <v>41489</v>
      </c>
      <c r="D6543" s="5">
        <v>41549</v>
      </c>
      <c r="E6543" s="4" t="s">
        <v>1410</v>
      </c>
      <c r="F6543" s="4" t="s">
        <v>4459</v>
      </c>
    </row>
    <row r="6544" spans="1:6" x14ac:dyDescent="0.25">
      <c r="A6544" s="4" t="str">
        <f>CONCATENATE("3071-0000-3322","")</f>
        <v>3071-0000-3322</v>
      </c>
      <c r="B6544" s="4" t="s">
        <v>1076</v>
      </c>
      <c r="C6544" s="5">
        <v>41489</v>
      </c>
      <c r="D6544" s="5">
        <v>41549</v>
      </c>
      <c r="E6544" s="4" t="s">
        <v>7</v>
      </c>
      <c r="F6544" s="4" t="s">
        <v>808</v>
      </c>
    </row>
    <row r="6545" spans="1:6" x14ac:dyDescent="0.25">
      <c r="A6545" s="4" t="str">
        <f>CONCATENATE("3071-0000-9433","")</f>
        <v>3071-0000-9433</v>
      </c>
      <c r="B6545" s="4" t="s">
        <v>8416</v>
      </c>
      <c r="C6545" s="5">
        <v>41489</v>
      </c>
      <c r="D6545" s="5">
        <v>41549</v>
      </c>
      <c r="E6545" s="4" t="s">
        <v>1410</v>
      </c>
      <c r="F6545" s="4" t="s">
        <v>7967</v>
      </c>
    </row>
    <row r="6546" spans="1:6" x14ac:dyDescent="0.25">
      <c r="A6546" s="4" t="str">
        <f>CONCATENATE("3071-0000-9508","")</f>
        <v>3071-0000-9508</v>
      </c>
      <c r="B6546" s="4" t="s">
        <v>8552</v>
      </c>
      <c r="C6546" s="5">
        <v>41489</v>
      </c>
      <c r="D6546" s="5">
        <v>41549</v>
      </c>
      <c r="E6546" s="4" t="s">
        <v>1410</v>
      </c>
      <c r="F6546" s="4" t="s">
        <v>4459</v>
      </c>
    </row>
    <row r="6547" spans="1:6" x14ac:dyDescent="0.25">
      <c r="A6547" s="4" t="str">
        <f>CONCATENATE("3071-0000-3702","")</f>
        <v>3071-0000-3702</v>
      </c>
      <c r="B6547" s="4" t="s">
        <v>1448</v>
      </c>
      <c r="C6547" s="5">
        <v>41489</v>
      </c>
      <c r="D6547" s="5">
        <v>41549</v>
      </c>
      <c r="E6547" s="4" t="s">
        <v>1410</v>
      </c>
      <c r="F6547" s="4" t="s">
        <v>1411</v>
      </c>
    </row>
    <row r="6548" spans="1:6" x14ac:dyDescent="0.25">
      <c r="A6548" s="4" t="str">
        <f>CONCATENATE("3071-0000-3119","")</f>
        <v>3071-0000-3119</v>
      </c>
      <c r="B6548" s="4" t="s">
        <v>1025</v>
      </c>
      <c r="C6548" s="5">
        <v>41489</v>
      </c>
      <c r="D6548" s="5">
        <v>41549</v>
      </c>
      <c r="E6548" s="4" t="s">
        <v>7</v>
      </c>
      <c r="F6548" s="4" t="s">
        <v>808</v>
      </c>
    </row>
    <row r="6549" spans="1:6" x14ac:dyDescent="0.25">
      <c r="A6549" s="4" t="str">
        <f>CONCATENATE("3071-0000-6621","")</f>
        <v>3071-0000-6621</v>
      </c>
      <c r="B6549" s="4" t="s">
        <v>8213</v>
      </c>
      <c r="C6549" s="5">
        <v>41489</v>
      </c>
      <c r="D6549" s="5">
        <v>41549</v>
      </c>
      <c r="E6549" s="4" t="s">
        <v>5185</v>
      </c>
      <c r="F6549" s="4" t="s">
        <v>5185</v>
      </c>
    </row>
    <row r="6550" spans="1:6" x14ac:dyDescent="0.25">
      <c r="A6550" s="4" t="str">
        <f>CONCATENATE("3071-0000-3672","")</f>
        <v>3071-0000-3672</v>
      </c>
      <c r="B6550" s="4" t="s">
        <v>1683</v>
      </c>
      <c r="C6550" s="5">
        <v>41489</v>
      </c>
      <c r="D6550" s="5">
        <v>41549</v>
      </c>
      <c r="E6550" s="4" t="s">
        <v>1410</v>
      </c>
      <c r="F6550" s="4" t="s">
        <v>1601</v>
      </c>
    </row>
    <row r="6551" spans="1:6" x14ac:dyDescent="0.25">
      <c r="A6551" s="4" t="str">
        <f>CONCATENATE("3071-0000-3178","")</f>
        <v>3071-0000-3178</v>
      </c>
      <c r="B6551" s="4" t="s">
        <v>1285</v>
      </c>
      <c r="C6551" s="5">
        <v>41489</v>
      </c>
      <c r="D6551" s="5">
        <v>41549</v>
      </c>
      <c r="E6551" s="4" t="s">
        <v>7</v>
      </c>
      <c r="F6551" s="4" t="s">
        <v>808</v>
      </c>
    </row>
    <row r="6552" spans="1:6" x14ac:dyDescent="0.25">
      <c r="A6552" s="4" t="str">
        <f>CONCATENATE("3071-0000-3089","")</f>
        <v>3071-0000-3089</v>
      </c>
      <c r="B6552" s="4" t="s">
        <v>1075</v>
      </c>
      <c r="C6552" s="5">
        <v>41489</v>
      </c>
      <c r="D6552" s="5">
        <v>41549</v>
      </c>
      <c r="E6552" s="4" t="s">
        <v>7</v>
      </c>
      <c r="F6552" s="4" t="s">
        <v>808</v>
      </c>
    </row>
    <row r="6553" spans="1:6" x14ac:dyDescent="0.25">
      <c r="A6553" s="4" t="str">
        <f>CONCATENATE("3071-0000-7107","")</f>
        <v>3071-0000-7107</v>
      </c>
      <c r="B6553" s="4" t="s">
        <v>4721</v>
      </c>
      <c r="C6553" s="5">
        <v>41489</v>
      </c>
      <c r="D6553" s="5">
        <v>41549</v>
      </c>
      <c r="E6553" s="4" t="s">
        <v>1410</v>
      </c>
      <c r="F6553" s="4" t="s">
        <v>1410</v>
      </c>
    </row>
    <row r="6554" spans="1:6" x14ac:dyDescent="0.25">
      <c r="A6554" s="4" t="str">
        <f>CONCATENATE("3071-0000-6547","")</f>
        <v>3071-0000-6547</v>
      </c>
      <c r="B6554" s="4" t="s">
        <v>7794</v>
      </c>
      <c r="C6554" s="5">
        <v>41489</v>
      </c>
      <c r="D6554" s="5">
        <v>41549</v>
      </c>
      <c r="E6554" s="4" t="s">
        <v>5185</v>
      </c>
      <c r="F6554" s="4" t="s">
        <v>5185</v>
      </c>
    </row>
    <row r="6555" spans="1:6" x14ac:dyDescent="0.25">
      <c r="A6555" s="4" t="str">
        <f>CONCATENATE("3071-0000-0721","")</f>
        <v>3071-0000-0721</v>
      </c>
      <c r="B6555" s="4" t="s">
        <v>605</v>
      </c>
      <c r="C6555" s="5">
        <v>41489</v>
      </c>
      <c r="D6555" s="5">
        <v>41549</v>
      </c>
      <c r="E6555" s="4" t="s">
        <v>7</v>
      </c>
      <c r="F6555" s="4" t="s">
        <v>7</v>
      </c>
    </row>
    <row r="6556" spans="1:6" x14ac:dyDescent="0.25">
      <c r="A6556" s="4" t="str">
        <f>CONCATENATE("3071-0000-3681","")</f>
        <v>3071-0000-3681</v>
      </c>
      <c r="B6556" s="4" t="s">
        <v>1823</v>
      </c>
      <c r="C6556" s="5">
        <v>41489</v>
      </c>
      <c r="D6556" s="5">
        <v>41549</v>
      </c>
      <c r="E6556" s="4" t="s">
        <v>1410</v>
      </c>
      <c r="F6556" s="4" t="s">
        <v>1411</v>
      </c>
    </row>
    <row r="6557" spans="1:6" x14ac:dyDescent="0.25">
      <c r="A6557" s="4" t="str">
        <f>CONCATENATE("3071-0000-0509","")</f>
        <v>3071-0000-0509</v>
      </c>
      <c r="B6557" s="4" t="s">
        <v>336</v>
      </c>
      <c r="C6557" s="5">
        <v>41489</v>
      </c>
      <c r="D6557" s="5">
        <v>41549</v>
      </c>
      <c r="E6557" s="4" t="s">
        <v>7</v>
      </c>
      <c r="F6557" s="4" t="s">
        <v>273</v>
      </c>
    </row>
    <row r="6558" spans="1:6" x14ac:dyDescent="0.25">
      <c r="A6558" s="4" t="str">
        <f>CONCATENATE("3071-0000-7487","")</f>
        <v>3071-0000-7487</v>
      </c>
      <c r="B6558" s="4" t="s">
        <v>5050</v>
      </c>
      <c r="C6558" s="5">
        <v>41489</v>
      </c>
      <c r="D6558" s="5">
        <v>41549</v>
      </c>
      <c r="E6558" s="4" t="s">
        <v>1410</v>
      </c>
      <c r="F6558" s="4" t="s">
        <v>4616</v>
      </c>
    </row>
    <row r="6559" spans="1:6" x14ac:dyDescent="0.25">
      <c r="A6559" s="4" t="str">
        <f>CONCATENATE("3071-0000-2893","")</f>
        <v>3071-0000-2893</v>
      </c>
      <c r="B6559" s="4" t="s">
        <v>1130</v>
      </c>
      <c r="C6559" s="5">
        <v>41489</v>
      </c>
      <c r="D6559" s="5">
        <v>41549</v>
      </c>
      <c r="E6559" s="4" t="s">
        <v>7</v>
      </c>
      <c r="F6559" s="4" t="s">
        <v>808</v>
      </c>
    </row>
    <row r="6560" spans="1:6" x14ac:dyDescent="0.25">
      <c r="A6560" s="4" t="str">
        <f>CONCATENATE("3071-0000-3105","")</f>
        <v>3071-0000-3105</v>
      </c>
      <c r="B6560" s="4" t="s">
        <v>1136</v>
      </c>
      <c r="C6560" s="5">
        <v>41489</v>
      </c>
      <c r="D6560" s="5">
        <v>41549</v>
      </c>
      <c r="E6560" s="4" t="s">
        <v>7</v>
      </c>
      <c r="F6560" s="4" t="s">
        <v>808</v>
      </c>
    </row>
    <row r="6561" spans="1:6" x14ac:dyDescent="0.25">
      <c r="A6561" s="4" t="str">
        <f>CONCATENATE("3071-0000-2834","")</f>
        <v>3071-0000-2834</v>
      </c>
      <c r="B6561" s="4" t="s">
        <v>1199</v>
      </c>
      <c r="C6561" s="5">
        <v>41489</v>
      </c>
      <c r="D6561" s="5">
        <v>41549</v>
      </c>
      <c r="E6561" s="4" t="s">
        <v>7</v>
      </c>
      <c r="F6561" s="4" t="s">
        <v>808</v>
      </c>
    </row>
    <row r="6562" spans="1:6" x14ac:dyDescent="0.25">
      <c r="A6562" s="4" t="str">
        <f>CONCATENATE("3071-0000-3620","")</f>
        <v>3071-0000-3620</v>
      </c>
      <c r="B6562" s="4" t="s">
        <v>1632</v>
      </c>
      <c r="C6562" s="5">
        <v>41489</v>
      </c>
      <c r="D6562" s="5">
        <v>41549</v>
      </c>
      <c r="E6562" s="4" t="s">
        <v>1410</v>
      </c>
      <c r="F6562" s="4" t="s">
        <v>1410</v>
      </c>
    </row>
    <row r="6563" spans="1:6" x14ac:dyDescent="0.25">
      <c r="A6563" s="4" t="str">
        <f>CONCATENATE("3071-0000-9495","")</f>
        <v>3071-0000-9495</v>
      </c>
      <c r="B6563" s="4" t="s">
        <v>8578</v>
      </c>
      <c r="C6563" s="5">
        <v>41489</v>
      </c>
      <c r="D6563" s="5">
        <v>41549</v>
      </c>
      <c r="E6563" s="4" t="s">
        <v>1410</v>
      </c>
      <c r="F6563" s="4" t="s">
        <v>4459</v>
      </c>
    </row>
    <row r="6564" spans="1:6" x14ac:dyDescent="0.25">
      <c r="A6564" s="4" t="str">
        <f>CONCATENATE("3071-0000-7764","")</f>
        <v>3071-0000-7764</v>
      </c>
      <c r="B6564" s="4" t="s">
        <v>4567</v>
      </c>
      <c r="C6564" s="5">
        <v>41489</v>
      </c>
      <c r="D6564" s="5">
        <v>41549</v>
      </c>
      <c r="E6564" s="4" t="s">
        <v>1410</v>
      </c>
      <c r="F6564" s="4" t="s">
        <v>1410</v>
      </c>
    </row>
    <row r="6565" spans="1:6" x14ac:dyDescent="0.25">
      <c r="A6565" s="4" t="str">
        <f>CONCATENATE("3071-0000-0167","")</f>
        <v>3071-0000-0167</v>
      </c>
      <c r="B6565" s="4" t="s">
        <v>351</v>
      </c>
      <c r="C6565" s="5">
        <v>41489</v>
      </c>
      <c r="D6565" s="5">
        <v>41549</v>
      </c>
      <c r="E6565" s="4" t="s">
        <v>7</v>
      </c>
      <c r="F6565" s="4" t="s">
        <v>7</v>
      </c>
    </row>
    <row r="6566" spans="1:6" x14ac:dyDescent="0.25">
      <c r="A6566" s="4" t="str">
        <f>CONCATENATE("3071-0000-6917","")</f>
        <v>3071-0000-6917</v>
      </c>
      <c r="B6566" s="4" t="s">
        <v>4589</v>
      </c>
      <c r="C6566" s="5">
        <v>41489</v>
      </c>
      <c r="D6566" s="5">
        <v>41549</v>
      </c>
      <c r="E6566" s="4" t="s">
        <v>1410</v>
      </c>
      <c r="F6566" s="4" t="s">
        <v>1410</v>
      </c>
    </row>
    <row r="6567" spans="1:6" x14ac:dyDescent="0.25">
      <c r="A6567" s="4" t="str">
        <f>CONCATENATE("3071-0000-0514","")</f>
        <v>3071-0000-0514</v>
      </c>
      <c r="B6567" s="4" t="s">
        <v>695</v>
      </c>
      <c r="C6567" s="5">
        <v>41489</v>
      </c>
      <c r="D6567" s="5">
        <v>41549</v>
      </c>
      <c r="E6567" s="4" t="s">
        <v>7</v>
      </c>
      <c r="F6567" s="4" t="s">
        <v>7</v>
      </c>
    </row>
    <row r="6568" spans="1:6" x14ac:dyDescent="0.25">
      <c r="A6568" s="4" t="str">
        <f>CONCATENATE("3071-0000-1174","")</f>
        <v>3071-0000-1174</v>
      </c>
      <c r="B6568" s="4" t="s">
        <v>2065</v>
      </c>
      <c r="C6568" s="5">
        <v>41489</v>
      </c>
      <c r="D6568" s="5">
        <v>41549</v>
      </c>
      <c r="E6568" s="4" t="s">
        <v>1857</v>
      </c>
      <c r="F6568" s="4" t="s">
        <v>2056</v>
      </c>
    </row>
    <row r="6569" spans="1:6" x14ac:dyDescent="0.25">
      <c r="A6569" s="4" t="str">
        <f>CONCATENATE("3071-0000-0456","")</f>
        <v>3071-0000-0456</v>
      </c>
      <c r="B6569" s="4" t="s">
        <v>370</v>
      </c>
      <c r="C6569" s="5">
        <v>41489</v>
      </c>
      <c r="D6569" s="5">
        <v>41549</v>
      </c>
      <c r="E6569" s="4" t="s">
        <v>7</v>
      </c>
      <c r="F6569" s="4" t="s">
        <v>7</v>
      </c>
    </row>
    <row r="6570" spans="1:6" x14ac:dyDescent="0.25">
      <c r="A6570" s="4" t="str">
        <f>CONCATENATE("3071-0000-0563","")</f>
        <v>3071-0000-0563</v>
      </c>
      <c r="B6570" s="4" t="s">
        <v>277</v>
      </c>
      <c r="C6570" s="5">
        <v>41489</v>
      </c>
      <c r="D6570" s="5">
        <v>41549</v>
      </c>
      <c r="E6570" s="4" t="s">
        <v>7</v>
      </c>
      <c r="F6570" s="4" t="s">
        <v>7</v>
      </c>
    </row>
    <row r="6571" spans="1:6" x14ac:dyDescent="0.25">
      <c r="A6571" s="4" t="str">
        <f>CONCATENATE("3071-0000-0144","")</f>
        <v>3071-0000-0144</v>
      </c>
      <c r="B6571" s="4" t="s">
        <v>319</v>
      </c>
      <c r="C6571" s="5">
        <v>41489</v>
      </c>
      <c r="D6571" s="5">
        <v>41549</v>
      </c>
      <c r="E6571" s="4" t="s">
        <v>7</v>
      </c>
      <c r="F6571" s="4" t="s">
        <v>7</v>
      </c>
    </row>
    <row r="6572" spans="1:6" x14ac:dyDescent="0.25">
      <c r="A6572" s="4" t="str">
        <f>CONCATENATE("3071-0000-0166","")</f>
        <v>3071-0000-0166</v>
      </c>
      <c r="B6572" s="4" t="s">
        <v>350</v>
      </c>
      <c r="C6572" s="5">
        <v>41489</v>
      </c>
      <c r="D6572" s="5">
        <v>41549</v>
      </c>
      <c r="E6572" s="4" t="s">
        <v>7</v>
      </c>
      <c r="F6572" s="4" t="s">
        <v>7</v>
      </c>
    </row>
    <row r="6573" spans="1:6" x14ac:dyDescent="0.25">
      <c r="A6573" s="4" t="str">
        <f>CONCATENATE("3071-0000-1547","")</f>
        <v>3071-0000-1547</v>
      </c>
      <c r="B6573" s="4" t="s">
        <v>2573</v>
      </c>
      <c r="C6573" s="5">
        <v>41489</v>
      </c>
      <c r="D6573" s="5">
        <v>41549</v>
      </c>
      <c r="E6573" s="4" t="s">
        <v>1381</v>
      </c>
      <c r="F6573" s="4" t="s">
        <v>2303</v>
      </c>
    </row>
    <row r="6574" spans="1:6" x14ac:dyDescent="0.25">
      <c r="A6574" s="4" t="str">
        <f>CONCATENATE("3071-0000-8483","")</f>
        <v>3071-0000-8483</v>
      </c>
      <c r="B6574" s="4" t="s">
        <v>6096</v>
      </c>
      <c r="C6574" s="5">
        <v>41489</v>
      </c>
      <c r="D6574" s="5">
        <v>41549</v>
      </c>
      <c r="E6574" s="4" t="s">
        <v>5185</v>
      </c>
      <c r="F6574" s="4" t="s">
        <v>5945</v>
      </c>
    </row>
    <row r="6575" spans="1:6" x14ac:dyDescent="0.25">
      <c r="A6575" s="4" t="str">
        <f>CONCATENATE("3071-0000-3058","")</f>
        <v>3071-0000-3058</v>
      </c>
      <c r="B6575" s="4" t="s">
        <v>886</v>
      </c>
      <c r="C6575" s="5">
        <v>41489</v>
      </c>
      <c r="D6575" s="5">
        <v>41549</v>
      </c>
      <c r="E6575" s="4" t="s">
        <v>7</v>
      </c>
      <c r="F6575" s="4" t="s">
        <v>808</v>
      </c>
    </row>
    <row r="6576" spans="1:6" x14ac:dyDescent="0.25">
      <c r="A6576" s="4" t="str">
        <f>CONCATENATE("3071-0000-2436","")</f>
        <v>3071-0000-2436</v>
      </c>
      <c r="B6576" s="4" t="s">
        <v>3791</v>
      </c>
      <c r="C6576" s="5">
        <v>41489</v>
      </c>
      <c r="D6576" s="5">
        <v>41549</v>
      </c>
      <c r="E6576" s="4" t="s">
        <v>2944</v>
      </c>
      <c r="F6576" s="4" t="s">
        <v>3115</v>
      </c>
    </row>
    <row r="6577" spans="1:6" x14ac:dyDescent="0.25">
      <c r="A6577" s="4" t="str">
        <f>CONCATENATE("3071-0000-0559","")</f>
        <v>3071-0000-0559</v>
      </c>
      <c r="B6577" s="4" t="s">
        <v>312</v>
      </c>
      <c r="C6577" s="5">
        <v>41489</v>
      </c>
      <c r="D6577" s="5">
        <v>41549</v>
      </c>
      <c r="E6577" s="4" t="s">
        <v>7</v>
      </c>
      <c r="F6577" s="4" t="s">
        <v>7</v>
      </c>
    </row>
    <row r="6578" spans="1:6" x14ac:dyDescent="0.25">
      <c r="A6578" s="4" t="str">
        <f>CONCATENATE("3071-0000-0142","")</f>
        <v>3071-0000-0142</v>
      </c>
      <c r="B6578" s="4" t="s">
        <v>316</v>
      </c>
      <c r="C6578" s="5">
        <v>41489</v>
      </c>
      <c r="D6578" s="5">
        <v>41549</v>
      </c>
      <c r="E6578" s="4" t="s">
        <v>7</v>
      </c>
      <c r="F6578" s="4" t="s">
        <v>7</v>
      </c>
    </row>
    <row r="6579" spans="1:6" x14ac:dyDescent="0.25">
      <c r="A6579" s="4" t="str">
        <f>CONCATENATE("3071-0000-2760","")</f>
        <v>3071-0000-2760</v>
      </c>
      <c r="B6579" s="4" t="s">
        <v>853</v>
      </c>
      <c r="C6579" s="5">
        <v>41489</v>
      </c>
      <c r="D6579" s="5">
        <v>41549</v>
      </c>
      <c r="E6579" s="4" t="s">
        <v>7</v>
      </c>
      <c r="F6579" s="4" t="s">
        <v>808</v>
      </c>
    </row>
    <row r="6580" spans="1:6" x14ac:dyDescent="0.25">
      <c r="A6580" s="4" t="str">
        <f>CONCATENATE("3071-0000-3227","")</f>
        <v>3071-0000-3227</v>
      </c>
      <c r="B6580" s="4" t="s">
        <v>838</v>
      </c>
      <c r="C6580" s="5">
        <v>41489</v>
      </c>
      <c r="D6580" s="5">
        <v>41549</v>
      </c>
      <c r="E6580" s="4" t="s">
        <v>7</v>
      </c>
      <c r="F6580" s="4" t="s">
        <v>812</v>
      </c>
    </row>
    <row r="6581" spans="1:6" x14ac:dyDescent="0.25">
      <c r="A6581" s="4" t="str">
        <f>CONCATENATE("3071-0000-0793","")</f>
        <v>3071-0000-0793</v>
      </c>
      <c r="B6581" s="4" t="s">
        <v>272</v>
      </c>
      <c r="C6581" s="5">
        <v>41489</v>
      </c>
      <c r="D6581" s="5">
        <v>41549</v>
      </c>
      <c r="E6581" s="4" t="s">
        <v>7</v>
      </c>
      <c r="F6581" s="4" t="s">
        <v>273</v>
      </c>
    </row>
    <row r="6582" spans="1:6" x14ac:dyDescent="0.25">
      <c r="A6582" s="4" t="str">
        <f>CONCATENATE("3071-0000-0515","")</f>
        <v>3071-0000-0515</v>
      </c>
      <c r="B6582" s="4" t="s">
        <v>696</v>
      </c>
      <c r="C6582" s="5">
        <v>41489</v>
      </c>
      <c r="D6582" s="5">
        <v>41549</v>
      </c>
      <c r="E6582" s="4" t="s">
        <v>7</v>
      </c>
      <c r="F6582" s="4" t="s">
        <v>7</v>
      </c>
    </row>
    <row r="6583" spans="1:6" x14ac:dyDescent="0.25">
      <c r="A6583" s="4" t="str">
        <f>CONCATENATE("3071-0000-2427","")</f>
        <v>3071-0000-2427</v>
      </c>
      <c r="B6583" s="4" t="s">
        <v>3568</v>
      </c>
      <c r="C6583" s="5">
        <v>41489</v>
      </c>
      <c r="D6583" s="5">
        <v>41549</v>
      </c>
      <c r="E6583" s="4" t="s">
        <v>2944</v>
      </c>
      <c r="F6583" s="4" t="s">
        <v>3567</v>
      </c>
    </row>
    <row r="6584" spans="1:6" x14ac:dyDescent="0.25">
      <c r="A6584" s="4" t="str">
        <f>CONCATENATE("3071-0000-2492","")</f>
        <v>3071-0000-2492</v>
      </c>
      <c r="B6584" s="4" t="s">
        <v>3595</v>
      </c>
      <c r="C6584" s="5">
        <v>41489</v>
      </c>
      <c r="D6584" s="5">
        <v>41549</v>
      </c>
      <c r="E6584" s="4" t="s">
        <v>2944</v>
      </c>
      <c r="F6584" s="4" t="s">
        <v>3593</v>
      </c>
    </row>
    <row r="6585" spans="1:6" x14ac:dyDescent="0.25">
      <c r="A6585" s="4" t="str">
        <f>CONCATENATE("3071-0000-3972","")</f>
        <v>3071-0000-3972</v>
      </c>
      <c r="B6585" s="4" t="s">
        <v>4198</v>
      </c>
      <c r="C6585" s="5">
        <v>41489</v>
      </c>
      <c r="D6585" s="5">
        <v>41549</v>
      </c>
      <c r="E6585" s="4" t="s">
        <v>2944</v>
      </c>
      <c r="F6585" s="4" t="s">
        <v>3513</v>
      </c>
    </row>
    <row r="6586" spans="1:6" x14ac:dyDescent="0.25">
      <c r="A6586" s="4" t="str">
        <f>CONCATENATE("3071-0000-0208","")</f>
        <v>3071-0000-0208</v>
      </c>
      <c r="B6586" s="4" t="s">
        <v>446</v>
      </c>
      <c r="C6586" s="5">
        <v>41489</v>
      </c>
      <c r="D6586" s="5">
        <v>41549</v>
      </c>
      <c r="E6586" s="4" t="s">
        <v>7</v>
      </c>
      <c r="F6586" s="4" t="s">
        <v>7</v>
      </c>
    </row>
    <row r="6587" spans="1:6" x14ac:dyDescent="0.25">
      <c r="A6587" s="4" t="str">
        <f>CONCATENATE("3071-0000-1964","")</f>
        <v>3071-0000-1964</v>
      </c>
      <c r="B6587" s="4" t="s">
        <v>3088</v>
      </c>
      <c r="C6587" s="5">
        <v>41489</v>
      </c>
      <c r="D6587" s="5">
        <v>41549</v>
      </c>
      <c r="E6587" s="4" t="s">
        <v>2944</v>
      </c>
      <c r="F6587" s="4" t="s">
        <v>2945</v>
      </c>
    </row>
    <row r="6588" spans="1:6" x14ac:dyDescent="0.25">
      <c r="A6588" s="4" t="str">
        <f>CONCATENATE("3071-0000-7991","")</f>
        <v>3071-0000-7991</v>
      </c>
      <c r="B6588" s="4" t="s">
        <v>5876</v>
      </c>
      <c r="C6588" s="5">
        <v>41489</v>
      </c>
      <c r="D6588" s="5">
        <v>41549</v>
      </c>
      <c r="E6588" s="4" t="s">
        <v>5185</v>
      </c>
      <c r="F6588" s="4" t="s">
        <v>5185</v>
      </c>
    </row>
    <row r="6589" spans="1:6" x14ac:dyDescent="0.25">
      <c r="A6589" s="4" t="str">
        <f>CONCATENATE("3071-0000-5976","")</f>
        <v>3071-0000-5976</v>
      </c>
      <c r="B6589" s="4" t="s">
        <v>7176</v>
      </c>
      <c r="C6589" s="5">
        <v>41489</v>
      </c>
      <c r="D6589" s="5">
        <v>41549</v>
      </c>
      <c r="E6589" s="4" t="s">
        <v>5185</v>
      </c>
      <c r="F6589" s="4" t="s">
        <v>5185</v>
      </c>
    </row>
    <row r="6590" spans="1:6" x14ac:dyDescent="0.25">
      <c r="A6590" s="4" t="str">
        <f>CONCATENATE("3071-0000-5439","")</f>
        <v>3071-0000-5439</v>
      </c>
      <c r="B6590" s="4" t="s">
        <v>6899</v>
      </c>
      <c r="C6590" s="5">
        <v>41489</v>
      </c>
      <c r="D6590" s="5">
        <v>41549</v>
      </c>
      <c r="E6590" s="4" t="s">
        <v>5185</v>
      </c>
      <c r="F6590" s="4" t="s">
        <v>5185</v>
      </c>
    </row>
    <row r="6591" spans="1:6" x14ac:dyDescent="0.25">
      <c r="A6591" s="4" t="str">
        <f>CONCATENATE("3071-0000-5458","")</f>
        <v>3071-0000-5458</v>
      </c>
      <c r="B6591" s="4" t="s">
        <v>6897</v>
      </c>
      <c r="C6591" s="5">
        <v>41489</v>
      </c>
      <c r="D6591" s="5">
        <v>41549</v>
      </c>
      <c r="E6591" s="4" t="s">
        <v>5185</v>
      </c>
      <c r="F6591" s="4" t="s">
        <v>5185</v>
      </c>
    </row>
    <row r="6592" spans="1:6" x14ac:dyDescent="0.25">
      <c r="A6592" s="4" t="str">
        <f>CONCATENATE("3071-0000-7586","")</f>
        <v>3071-0000-7586</v>
      </c>
      <c r="B6592" s="4" t="s">
        <v>4453</v>
      </c>
      <c r="C6592" s="5">
        <v>41489</v>
      </c>
      <c r="D6592" s="5">
        <v>41549</v>
      </c>
      <c r="E6592" s="4" t="s">
        <v>1410</v>
      </c>
      <c r="F6592" s="4" t="s">
        <v>1410</v>
      </c>
    </row>
    <row r="6593" spans="1:6" x14ac:dyDescent="0.25">
      <c r="A6593" s="4" t="str">
        <f>CONCATENATE("3071-0000-2833","")</f>
        <v>3071-0000-2833</v>
      </c>
      <c r="B6593" s="4" t="s">
        <v>1093</v>
      </c>
      <c r="C6593" s="5">
        <v>41489</v>
      </c>
      <c r="D6593" s="5">
        <v>41549</v>
      </c>
      <c r="E6593" s="4" t="s">
        <v>7</v>
      </c>
      <c r="F6593" s="4" t="s">
        <v>808</v>
      </c>
    </row>
    <row r="6594" spans="1:6" x14ac:dyDescent="0.25">
      <c r="A6594" s="4" t="str">
        <f>CONCATENATE("3071-0000-5249","")</f>
        <v>3071-0000-5249</v>
      </c>
      <c r="B6594" s="4" t="s">
        <v>6720</v>
      </c>
      <c r="C6594" s="5">
        <v>41489</v>
      </c>
      <c r="D6594" s="5">
        <v>41549</v>
      </c>
      <c r="E6594" s="4" t="s">
        <v>5185</v>
      </c>
      <c r="F6594" s="4" t="s">
        <v>5185</v>
      </c>
    </row>
    <row r="6595" spans="1:6" x14ac:dyDescent="0.25">
      <c r="A6595" s="4" t="str">
        <f>CONCATENATE("3071-0000-5981","")</f>
        <v>3071-0000-5981</v>
      </c>
      <c r="B6595" s="4" t="s">
        <v>7233</v>
      </c>
      <c r="C6595" s="5">
        <v>41489</v>
      </c>
      <c r="D6595" s="5">
        <v>41549</v>
      </c>
      <c r="E6595" s="4" t="s">
        <v>5185</v>
      </c>
      <c r="F6595" s="4" t="s">
        <v>5185</v>
      </c>
    </row>
    <row r="6596" spans="1:6" x14ac:dyDescent="0.25">
      <c r="A6596" s="4" t="str">
        <f>CONCATENATE("3071-0000-5216","")</f>
        <v>3071-0000-5216</v>
      </c>
      <c r="B6596" s="4" t="s">
        <v>6652</v>
      </c>
      <c r="C6596" s="5">
        <v>41489</v>
      </c>
      <c r="D6596" s="5">
        <v>41549</v>
      </c>
      <c r="E6596" s="4" t="s">
        <v>5185</v>
      </c>
      <c r="F6596" s="4" t="s">
        <v>5185</v>
      </c>
    </row>
    <row r="6597" spans="1:6" x14ac:dyDescent="0.25">
      <c r="A6597" s="4" t="str">
        <f>CONCATENATE("3071-0000-5448","")</f>
        <v>3071-0000-5448</v>
      </c>
      <c r="B6597" s="4" t="s">
        <v>6654</v>
      </c>
      <c r="C6597" s="5">
        <v>41489</v>
      </c>
      <c r="D6597" s="5">
        <v>41549</v>
      </c>
      <c r="E6597" s="4" t="s">
        <v>5185</v>
      </c>
      <c r="F6597" s="4" t="s">
        <v>5185</v>
      </c>
    </row>
    <row r="6598" spans="1:6" x14ac:dyDescent="0.25">
      <c r="A6598" s="4" t="str">
        <f>CONCATENATE("3071-0000-2949","")</f>
        <v>3071-0000-2949</v>
      </c>
      <c r="B6598" s="4" t="s">
        <v>1339</v>
      </c>
      <c r="C6598" s="5">
        <v>41489</v>
      </c>
      <c r="D6598" s="5">
        <v>41549</v>
      </c>
      <c r="E6598" s="4" t="s">
        <v>7</v>
      </c>
      <c r="F6598" s="4" t="s">
        <v>808</v>
      </c>
    </row>
    <row r="6599" spans="1:6" x14ac:dyDescent="0.25">
      <c r="A6599" s="4" t="str">
        <f>CONCATENATE("3071-0000-2837","")</f>
        <v>3071-0000-2837</v>
      </c>
      <c r="B6599" s="4" t="s">
        <v>1105</v>
      </c>
      <c r="C6599" s="5">
        <v>41489</v>
      </c>
      <c r="D6599" s="5">
        <v>41549</v>
      </c>
      <c r="E6599" s="4" t="s">
        <v>7</v>
      </c>
      <c r="F6599" s="4" t="s">
        <v>808</v>
      </c>
    </row>
    <row r="6600" spans="1:6" x14ac:dyDescent="0.25">
      <c r="A6600" s="4" t="str">
        <f>CONCATENATE("3071-0000-2961","")</f>
        <v>3071-0000-2961</v>
      </c>
      <c r="B6600" s="4" t="s">
        <v>1110</v>
      </c>
      <c r="C6600" s="5">
        <v>41489</v>
      </c>
      <c r="D6600" s="5">
        <v>41549</v>
      </c>
      <c r="E6600" s="4" t="s">
        <v>7</v>
      </c>
      <c r="F6600" s="4" t="s">
        <v>808</v>
      </c>
    </row>
    <row r="6601" spans="1:6" x14ac:dyDescent="0.25">
      <c r="A6601" s="4" t="str">
        <f>CONCATENATE("3071-0000-3147","")</f>
        <v>3071-0000-3147</v>
      </c>
      <c r="B6601" s="4" t="s">
        <v>1265</v>
      </c>
      <c r="C6601" s="5">
        <v>41489</v>
      </c>
      <c r="D6601" s="5">
        <v>41549</v>
      </c>
      <c r="E6601" s="4" t="s">
        <v>7</v>
      </c>
      <c r="F6601" s="4" t="s">
        <v>808</v>
      </c>
    </row>
    <row r="6602" spans="1:6" x14ac:dyDescent="0.25">
      <c r="A6602" s="4" t="str">
        <f>CONCATENATE("3071-0000-5972","")</f>
        <v>3071-0000-5972</v>
      </c>
      <c r="B6602" s="4" t="s">
        <v>7181</v>
      </c>
      <c r="C6602" s="5">
        <v>41489</v>
      </c>
      <c r="D6602" s="5">
        <v>41549</v>
      </c>
      <c r="E6602" s="4" t="s">
        <v>5185</v>
      </c>
      <c r="F6602" s="4" t="s">
        <v>5185</v>
      </c>
    </row>
    <row r="6603" spans="1:6" x14ac:dyDescent="0.25">
      <c r="A6603" s="4" t="str">
        <f>CONCATENATE("3071-0000-5977","")</f>
        <v>3071-0000-5977</v>
      </c>
      <c r="B6603" s="4" t="s">
        <v>7178</v>
      </c>
      <c r="C6603" s="5">
        <v>41489</v>
      </c>
      <c r="D6603" s="5">
        <v>41549</v>
      </c>
      <c r="E6603" s="4" t="s">
        <v>5185</v>
      </c>
      <c r="F6603" s="4" t="s">
        <v>5185</v>
      </c>
    </row>
    <row r="6604" spans="1:6" x14ac:dyDescent="0.25">
      <c r="A6604" s="4" t="str">
        <f>CONCATENATE("3071-0000-0385","")</f>
        <v>3071-0000-0385</v>
      </c>
      <c r="B6604" s="4" t="s">
        <v>110</v>
      </c>
      <c r="C6604" s="5">
        <v>41489</v>
      </c>
      <c r="D6604" s="5">
        <v>41549</v>
      </c>
      <c r="E6604" s="4" t="s">
        <v>7</v>
      </c>
      <c r="F6604" s="4" t="s">
        <v>7</v>
      </c>
    </row>
    <row r="6605" spans="1:6" x14ac:dyDescent="0.25">
      <c r="A6605" s="4" t="str">
        <f>CONCATENATE("3071-0000-2481","")</f>
        <v>3071-0000-2481</v>
      </c>
      <c r="B6605" s="4" t="s">
        <v>3606</v>
      </c>
      <c r="C6605" s="5">
        <v>41489</v>
      </c>
      <c r="D6605" s="5">
        <v>41549</v>
      </c>
      <c r="E6605" s="4" t="s">
        <v>2944</v>
      </c>
      <c r="F6605" s="4" t="s">
        <v>3593</v>
      </c>
    </row>
    <row r="6606" spans="1:6" x14ac:dyDescent="0.25">
      <c r="A6606" s="4" t="str">
        <f>CONCATENATE("3071-0000-2603","")</f>
        <v>3071-0000-2603</v>
      </c>
      <c r="B6606" s="4" t="s">
        <v>3246</v>
      </c>
      <c r="C6606" s="5">
        <v>41489</v>
      </c>
      <c r="D6606" s="5">
        <v>41549</v>
      </c>
      <c r="E6606" s="4" t="s">
        <v>2944</v>
      </c>
      <c r="F6606" s="4" t="s">
        <v>3164</v>
      </c>
    </row>
    <row r="6607" spans="1:6" x14ac:dyDescent="0.25">
      <c r="A6607" s="4" t="str">
        <f>CONCATENATE("3071-0000-3657","")</f>
        <v>3071-0000-3657</v>
      </c>
      <c r="B6607" s="4" t="s">
        <v>1646</v>
      </c>
      <c r="C6607" s="5">
        <v>41489</v>
      </c>
      <c r="D6607" s="5">
        <v>41549</v>
      </c>
      <c r="E6607" s="4" t="s">
        <v>1410</v>
      </c>
      <c r="F6607" s="4" t="s">
        <v>1411</v>
      </c>
    </row>
    <row r="6608" spans="1:6" x14ac:dyDescent="0.25">
      <c r="A6608" s="4" t="str">
        <f>CONCATENATE("3071-0000-3662","")</f>
        <v>3071-0000-3662</v>
      </c>
      <c r="B6608" s="4" t="s">
        <v>1676</v>
      </c>
      <c r="C6608" s="5">
        <v>41489</v>
      </c>
      <c r="D6608" s="5">
        <v>41549</v>
      </c>
      <c r="E6608" s="4" t="s">
        <v>1410</v>
      </c>
      <c r="F6608" s="4" t="s">
        <v>1601</v>
      </c>
    </row>
    <row r="6609" spans="1:6" x14ac:dyDescent="0.25">
      <c r="A6609" s="4" t="str">
        <f>CONCATENATE("3071-0000-7112","")</f>
        <v>3071-0000-7112</v>
      </c>
      <c r="B6609" s="4" t="s">
        <v>4732</v>
      </c>
      <c r="C6609" s="5">
        <v>41489</v>
      </c>
      <c r="D6609" s="5">
        <v>41549</v>
      </c>
      <c r="E6609" s="4" t="s">
        <v>1410</v>
      </c>
      <c r="F6609" s="4" t="s">
        <v>1410</v>
      </c>
    </row>
    <row r="6610" spans="1:6" x14ac:dyDescent="0.25">
      <c r="A6610" s="4" t="str">
        <f>CONCATENATE("3071-0000-3743","")</f>
        <v>3071-0000-3743</v>
      </c>
      <c r="B6610" s="4" t="s">
        <v>1663</v>
      </c>
      <c r="C6610" s="5">
        <v>41489</v>
      </c>
      <c r="D6610" s="5">
        <v>41549</v>
      </c>
      <c r="E6610" s="4" t="s">
        <v>1410</v>
      </c>
      <c r="F6610" s="4" t="s">
        <v>1601</v>
      </c>
    </row>
    <row r="6611" spans="1:6" x14ac:dyDescent="0.25">
      <c r="A6611" s="4" t="str">
        <f>CONCATENATE("3071-0000-3347","")</f>
        <v>3071-0000-3347</v>
      </c>
      <c r="B6611" s="4" t="s">
        <v>1470</v>
      </c>
      <c r="C6611" s="5">
        <v>41489</v>
      </c>
      <c r="D6611" s="5">
        <v>41549</v>
      </c>
      <c r="E6611" s="4" t="s">
        <v>1410</v>
      </c>
      <c r="F6611" s="4" t="s">
        <v>1411</v>
      </c>
    </row>
    <row r="6612" spans="1:6" x14ac:dyDescent="0.25">
      <c r="A6612" s="4" t="str">
        <f>CONCATENATE("3071-0000-3740","")</f>
        <v>3071-0000-3740</v>
      </c>
      <c r="B6612" s="4" t="s">
        <v>1670</v>
      </c>
      <c r="C6612" s="5">
        <v>41489</v>
      </c>
      <c r="D6612" s="5">
        <v>41549</v>
      </c>
      <c r="E6612" s="4" t="s">
        <v>1410</v>
      </c>
      <c r="F6612" s="4" t="s">
        <v>1601</v>
      </c>
    </row>
    <row r="6613" spans="1:6" x14ac:dyDescent="0.25">
      <c r="A6613" s="4" t="str">
        <f>CONCATENATE("3071-0000-9220","")</f>
        <v>3071-0000-9220</v>
      </c>
      <c r="B6613" s="4" t="s">
        <v>8316</v>
      </c>
      <c r="C6613" s="5">
        <v>41489</v>
      </c>
      <c r="D6613" s="5">
        <v>41549</v>
      </c>
      <c r="E6613" s="4" t="s">
        <v>5185</v>
      </c>
      <c r="F6613" s="4" t="s">
        <v>5185</v>
      </c>
    </row>
    <row r="6614" spans="1:6" x14ac:dyDescent="0.25">
      <c r="A6614" s="4" t="str">
        <f>CONCATENATE("3071-0000-5304","")</f>
        <v>3071-0000-5304</v>
      </c>
      <c r="B6614" s="4" t="s">
        <v>6734</v>
      </c>
      <c r="C6614" s="5">
        <v>41489</v>
      </c>
      <c r="D6614" s="5">
        <v>41549</v>
      </c>
      <c r="E6614" s="4" t="s">
        <v>5185</v>
      </c>
      <c r="F6614" s="4" t="s">
        <v>5185</v>
      </c>
    </row>
    <row r="6615" spans="1:6" x14ac:dyDescent="0.25">
      <c r="A6615" s="4" t="str">
        <f>CONCATENATE("3071-0000-2604","")</f>
        <v>3071-0000-2604</v>
      </c>
      <c r="B6615" s="4" t="s">
        <v>3247</v>
      </c>
      <c r="C6615" s="5">
        <v>41489</v>
      </c>
      <c r="D6615" s="5">
        <v>41549</v>
      </c>
      <c r="E6615" s="4" t="s">
        <v>2944</v>
      </c>
      <c r="F6615" s="4" t="s">
        <v>3164</v>
      </c>
    </row>
    <row r="6616" spans="1:6" x14ac:dyDescent="0.25">
      <c r="A6616" s="4" t="str">
        <f>CONCATENATE("3071-0000-7378","")</f>
        <v>3071-0000-7378</v>
      </c>
      <c r="B6616" s="4" t="s">
        <v>5076</v>
      </c>
      <c r="C6616" s="5">
        <v>41489</v>
      </c>
      <c r="D6616" s="5">
        <v>41549</v>
      </c>
      <c r="E6616" s="4" t="s">
        <v>1410</v>
      </c>
      <c r="F6616" s="4" t="s">
        <v>1410</v>
      </c>
    </row>
    <row r="6617" spans="1:6" x14ac:dyDescent="0.25">
      <c r="A6617" s="4" t="str">
        <f>CONCATENATE("3071-0000-5642","")</f>
        <v>3071-0000-5642</v>
      </c>
      <c r="B6617" s="4" t="s">
        <v>7266</v>
      </c>
      <c r="C6617" s="5">
        <v>41489</v>
      </c>
      <c r="D6617" s="5">
        <v>41549</v>
      </c>
      <c r="E6617" s="4" t="s">
        <v>5185</v>
      </c>
      <c r="F6617" s="4" t="s">
        <v>5185</v>
      </c>
    </row>
    <row r="6618" spans="1:6" x14ac:dyDescent="0.25">
      <c r="A6618" s="4" t="str">
        <f>CONCATENATE("3071-0000-5778","")</f>
        <v>3071-0000-5778</v>
      </c>
      <c r="B6618" s="4" t="s">
        <v>7262</v>
      </c>
      <c r="C6618" s="5">
        <v>41489</v>
      </c>
      <c r="D6618" s="5">
        <v>41549</v>
      </c>
      <c r="E6618" s="4" t="s">
        <v>5185</v>
      </c>
      <c r="F6618" s="4" t="s">
        <v>5185</v>
      </c>
    </row>
    <row r="6619" spans="1:6" x14ac:dyDescent="0.25">
      <c r="A6619" s="4" t="str">
        <f>CONCATENATE("3071-0000-3742","")</f>
        <v>3071-0000-3742</v>
      </c>
      <c r="B6619" s="4" t="s">
        <v>1672</v>
      </c>
      <c r="C6619" s="5">
        <v>41489</v>
      </c>
      <c r="D6619" s="5">
        <v>41549</v>
      </c>
      <c r="E6619" s="4" t="s">
        <v>1410</v>
      </c>
      <c r="F6619" s="4" t="s">
        <v>1601</v>
      </c>
    </row>
    <row r="6620" spans="1:6" x14ac:dyDescent="0.25">
      <c r="A6620" s="4" t="str">
        <f>CONCATENATE("3071-0000-3738","")</f>
        <v>3071-0000-3738</v>
      </c>
      <c r="B6620" s="4" t="s">
        <v>1668</v>
      </c>
      <c r="C6620" s="5">
        <v>41489</v>
      </c>
      <c r="D6620" s="5">
        <v>41549</v>
      </c>
      <c r="E6620" s="4" t="s">
        <v>1410</v>
      </c>
      <c r="F6620" s="4" t="s">
        <v>1601</v>
      </c>
    </row>
    <row r="6621" spans="1:6" x14ac:dyDescent="0.25">
      <c r="A6621" s="4" t="str">
        <f>CONCATENATE("3071-0000-2160","")</f>
        <v>3071-0000-2160</v>
      </c>
      <c r="B6621" s="4" t="s">
        <v>3194</v>
      </c>
      <c r="C6621" s="5">
        <v>41489</v>
      </c>
      <c r="D6621" s="5">
        <v>41549</v>
      </c>
      <c r="E6621" s="4" t="s">
        <v>2944</v>
      </c>
      <c r="F6621" s="4" t="s">
        <v>2945</v>
      </c>
    </row>
    <row r="6622" spans="1:6" x14ac:dyDescent="0.25">
      <c r="A6622" s="4" t="str">
        <f>CONCATENATE("3071-0000-5280","")</f>
        <v>3071-0000-5280</v>
      </c>
      <c r="B6622" s="4" t="s">
        <v>6757</v>
      </c>
      <c r="C6622" s="5">
        <v>41489</v>
      </c>
      <c r="D6622" s="5">
        <v>41549</v>
      </c>
      <c r="E6622" s="4" t="s">
        <v>5185</v>
      </c>
      <c r="F6622" s="4" t="s">
        <v>5185</v>
      </c>
    </row>
    <row r="6623" spans="1:6" x14ac:dyDescent="0.25">
      <c r="A6623" s="4" t="str">
        <f>CONCATENATE("3071-0000-3649","")</f>
        <v>3071-0000-3649</v>
      </c>
      <c r="B6623" s="4" t="s">
        <v>1457</v>
      </c>
      <c r="C6623" s="5">
        <v>41489</v>
      </c>
      <c r="D6623" s="5">
        <v>41549</v>
      </c>
      <c r="E6623" s="4" t="s">
        <v>1410</v>
      </c>
      <c r="F6623" s="4" t="s">
        <v>1411</v>
      </c>
    </row>
    <row r="6624" spans="1:6" x14ac:dyDescent="0.25">
      <c r="A6624" s="4" t="str">
        <f>CONCATENATE("3071-0000-3552","")</f>
        <v>3071-0000-3552</v>
      </c>
      <c r="B6624" s="4" t="s">
        <v>1530</v>
      </c>
      <c r="C6624" s="5">
        <v>41489</v>
      </c>
      <c r="D6624" s="5">
        <v>41549</v>
      </c>
      <c r="E6624" s="4" t="s">
        <v>1410</v>
      </c>
      <c r="F6624" s="4" t="s">
        <v>1411</v>
      </c>
    </row>
    <row r="6625" spans="1:6" x14ac:dyDescent="0.25">
      <c r="A6625" s="4" t="str">
        <f>CONCATENATE("3071-0000-5506","")</f>
        <v>3071-0000-5506</v>
      </c>
      <c r="B6625" s="4" t="s">
        <v>6752</v>
      </c>
      <c r="C6625" s="5">
        <v>41489</v>
      </c>
      <c r="D6625" s="5">
        <v>41549</v>
      </c>
      <c r="E6625" s="4" t="s">
        <v>1410</v>
      </c>
      <c r="F6625" s="4" t="s">
        <v>6635</v>
      </c>
    </row>
    <row r="6626" spans="1:6" x14ac:dyDescent="0.25">
      <c r="A6626" s="4" t="str">
        <f>CONCATENATE("3071-0000-5961","")</f>
        <v>3071-0000-5961</v>
      </c>
      <c r="B6626" s="4" t="s">
        <v>7596</v>
      </c>
      <c r="C6626" s="5">
        <v>41489</v>
      </c>
      <c r="D6626" s="5">
        <v>41549</v>
      </c>
      <c r="E6626" s="4" t="s">
        <v>5185</v>
      </c>
      <c r="F6626" s="4" t="s">
        <v>5185</v>
      </c>
    </row>
    <row r="6627" spans="1:6" x14ac:dyDescent="0.25">
      <c r="A6627" s="4" t="str">
        <f>CONCATENATE("3071-0000-6385","")</f>
        <v>3071-0000-6385</v>
      </c>
      <c r="B6627" s="4" t="s">
        <v>7854</v>
      </c>
      <c r="C6627" s="5">
        <v>41489</v>
      </c>
      <c r="D6627" s="5">
        <v>41549</v>
      </c>
      <c r="E6627" s="4" t="s">
        <v>5185</v>
      </c>
      <c r="F6627" s="4" t="s">
        <v>5185</v>
      </c>
    </row>
    <row r="6628" spans="1:6" x14ac:dyDescent="0.25">
      <c r="A6628" s="4" t="str">
        <f>CONCATENATE("3071-0000-7508","")</f>
        <v>3071-0000-7508</v>
      </c>
      <c r="B6628" s="4" t="s">
        <v>4361</v>
      </c>
      <c r="C6628" s="5">
        <v>41489</v>
      </c>
      <c r="D6628" s="5">
        <v>41549</v>
      </c>
      <c r="E6628" s="4" t="s">
        <v>1410</v>
      </c>
      <c r="F6628" s="4" t="s">
        <v>1410</v>
      </c>
    </row>
    <row r="6629" spans="1:6" x14ac:dyDescent="0.25">
      <c r="A6629" s="4" t="str">
        <f>CONCATENATE("3071-0000-6553","")</f>
        <v>3071-0000-6553</v>
      </c>
      <c r="B6629" s="4" t="s">
        <v>7802</v>
      </c>
      <c r="C6629" s="5">
        <v>41489</v>
      </c>
      <c r="D6629" s="5">
        <v>41549</v>
      </c>
      <c r="E6629" s="4" t="s">
        <v>5185</v>
      </c>
      <c r="F6629" s="4" t="s">
        <v>5185</v>
      </c>
    </row>
    <row r="6630" spans="1:6" x14ac:dyDescent="0.25">
      <c r="A6630" s="4" t="str">
        <f>CONCATENATE("3071-0000-3578","")</f>
        <v>3071-0000-3578</v>
      </c>
      <c r="B6630" s="4" t="s">
        <v>1732</v>
      </c>
      <c r="C6630" s="5">
        <v>41489</v>
      </c>
      <c r="D6630" s="5">
        <v>41549</v>
      </c>
      <c r="E6630" s="4" t="s">
        <v>1410</v>
      </c>
      <c r="F6630" s="4" t="s">
        <v>1411</v>
      </c>
    </row>
    <row r="6631" spans="1:6" x14ac:dyDescent="0.25">
      <c r="A6631" s="4" t="str">
        <f>CONCATENATE("3071-0000-6057","")</f>
        <v>3071-0000-6057</v>
      </c>
      <c r="B6631" s="4" t="s">
        <v>7501</v>
      </c>
      <c r="C6631" s="5">
        <v>41489</v>
      </c>
      <c r="D6631" s="5">
        <v>41549</v>
      </c>
      <c r="E6631" s="4" t="s">
        <v>1410</v>
      </c>
      <c r="F6631" s="4" t="s">
        <v>1410</v>
      </c>
    </row>
    <row r="6632" spans="1:6" x14ac:dyDescent="0.25">
      <c r="A6632" s="4" t="str">
        <f>CONCATENATE("3071-0000-8393","")</f>
        <v>3071-0000-8393</v>
      </c>
      <c r="B6632" s="4" t="s">
        <v>5943</v>
      </c>
      <c r="C6632" s="5">
        <v>41489</v>
      </c>
      <c r="D6632" s="5">
        <v>41549</v>
      </c>
      <c r="E6632" s="4" t="s">
        <v>5185</v>
      </c>
      <c r="F6632" s="4" t="s">
        <v>5185</v>
      </c>
    </row>
    <row r="6633" spans="1:6" x14ac:dyDescent="0.25">
      <c r="A6633" s="4" t="str">
        <f>CONCATENATE("3071-0000-7563","")</f>
        <v>3071-0000-7563</v>
      </c>
      <c r="B6633" s="4" t="s">
        <v>5118</v>
      </c>
      <c r="C6633" s="5">
        <v>41489</v>
      </c>
      <c r="D6633" s="5">
        <v>41549</v>
      </c>
      <c r="E6633" s="4" t="s">
        <v>1410</v>
      </c>
      <c r="F6633" s="4" t="s">
        <v>4616</v>
      </c>
    </row>
    <row r="6634" spans="1:6" x14ac:dyDescent="0.25">
      <c r="A6634" s="4" t="str">
        <f>CONCATENATE("3071-0000-0106","")</f>
        <v>3071-0000-0106</v>
      </c>
      <c r="B6634" s="4" t="s">
        <v>221</v>
      </c>
      <c r="C6634" s="5">
        <v>41489</v>
      </c>
      <c r="D6634" s="5">
        <v>41549</v>
      </c>
      <c r="E6634" s="4" t="s">
        <v>7</v>
      </c>
      <c r="F6634" s="4" t="s">
        <v>7</v>
      </c>
    </row>
    <row r="6635" spans="1:6" x14ac:dyDescent="0.25">
      <c r="A6635" s="4" t="str">
        <f>CONCATENATE("3071-0000-1084","")</f>
        <v>3071-0000-1084</v>
      </c>
      <c r="B6635" s="4" t="s">
        <v>2257</v>
      </c>
      <c r="C6635" s="5">
        <v>41489</v>
      </c>
      <c r="D6635" s="5">
        <v>41549</v>
      </c>
      <c r="E6635" s="4" t="s">
        <v>1857</v>
      </c>
      <c r="F6635" s="4" t="s">
        <v>1857</v>
      </c>
    </row>
    <row r="6636" spans="1:6" x14ac:dyDescent="0.25">
      <c r="A6636" s="4" t="str">
        <f>CONCATENATE("3071-0000-2738","")</f>
        <v>3071-0000-2738</v>
      </c>
      <c r="B6636" s="4" t="s">
        <v>830</v>
      </c>
      <c r="C6636" s="5">
        <v>41489</v>
      </c>
      <c r="D6636" s="5">
        <v>41549</v>
      </c>
      <c r="E6636" s="4" t="s">
        <v>7</v>
      </c>
      <c r="F6636" s="4" t="s">
        <v>808</v>
      </c>
    </row>
    <row r="6637" spans="1:6" x14ac:dyDescent="0.25">
      <c r="A6637" s="4" t="str">
        <f>CONCATENATE("3071-0000-5297","")</f>
        <v>3071-0000-5297</v>
      </c>
      <c r="B6637" s="4" t="s">
        <v>6796</v>
      </c>
      <c r="C6637" s="5">
        <v>41489</v>
      </c>
      <c r="D6637" s="5">
        <v>41549</v>
      </c>
      <c r="E6637" s="4" t="s">
        <v>5185</v>
      </c>
      <c r="F6637" s="4" t="s">
        <v>5185</v>
      </c>
    </row>
    <row r="6638" spans="1:6" x14ac:dyDescent="0.25">
      <c r="A6638" s="4" t="str">
        <f>CONCATENATE("3071-0000-0743","")</f>
        <v>3071-0000-0743</v>
      </c>
      <c r="B6638" s="4" t="s">
        <v>716</v>
      </c>
      <c r="C6638" s="5">
        <v>41489</v>
      </c>
      <c r="D6638" s="5">
        <v>41549</v>
      </c>
      <c r="E6638" s="4" t="s">
        <v>7</v>
      </c>
      <c r="F6638" s="4" t="s">
        <v>7</v>
      </c>
    </row>
    <row r="6639" spans="1:6" x14ac:dyDescent="0.25">
      <c r="A6639" s="4" t="str">
        <f>CONCATENATE("3071-0000-8497","")</f>
        <v>3071-0000-8497</v>
      </c>
      <c r="B6639" s="4" t="s">
        <v>6144</v>
      </c>
      <c r="C6639" s="5">
        <v>41489</v>
      </c>
      <c r="D6639" s="5">
        <v>41549</v>
      </c>
      <c r="E6639" s="4" t="s">
        <v>5185</v>
      </c>
      <c r="F6639" s="4" t="s">
        <v>5945</v>
      </c>
    </row>
    <row r="6640" spans="1:6" x14ac:dyDescent="0.25">
      <c r="A6640" s="4" t="str">
        <f>CONCATENATE("3071-0000-7891","")</f>
        <v>3071-0000-7891</v>
      </c>
      <c r="B6640" s="4" t="s">
        <v>5483</v>
      </c>
      <c r="C6640" s="5">
        <v>41489</v>
      </c>
      <c r="D6640" s="5">
        <v>41549</v>
      </c>
      <c r="E6640" s="4" t="s">
        <v>5185</v>
      </c>
      <c r="F6640" s="4" t="s">
        <v>5185</v>
      </c>
    </row>
    <row r="6641" spans="1:6" x14ac:dyDescent="0.25">
      <c r="A6641" s="4" t="str">
        <f>CONCATENATE("3071-0000-9237","")</f>
        <v>3071-0000-9237</v>
      </c>
      <c r="B6641" s="4" t="s">
        <v>8357</v>
      </c>
      <c r="C6641" s="5">
        <v>41489</v>
      </c>
      <c r="D6641" s="5">
        <v>41549</v>
      </c>
      <c r="E6641" s="4" t="s">
        <v>5185</v>
      </c>
      <c r="F6641" s="4" t="s">
        <v>5185</v>
      </c>
    </row>
    <row r="6642" spans="1:6" x14ac:dyDescent="0.25">
      <c r="A6642" s="4" t="str">
        <f>CONCATENATE("3071-0000-9458","")</f>
        <v>3071-0000-9458</v>
      </c>
      <c r="B6642" s="4" t="s">
        <v>8505</v>
      </c>
      <c r="C6642" s="5">
        <v>41489</v>
      </c>
      <c r="D6642" s="5">
        <v>41549</v>
      </c>
      <c r="E6642" s="4" t="s">
        <v>1410</v>
      </c>
      <c r="F6642" s="4" t="s">
        <v>4459</v>
      </c>
    </row>
    <row r="6643" spans="1:6" x14ac:dyDescent="0.25">
      <c r="A6643" s="4" t="str">
        <f>CONCATENATE("3071-0000-0470","")</f>
        <v>3071-0000-0470</v>
      </c>
      <c r="B6643" s="4" t="s">
        <v>725</v>
      </c>
      <c r="C6643" s="5">
        <v>41489</v>
      </c>
      <c r="D6643" s="5">
        <v>41549</v>
      </c>
      <c r="E6643" s="4" t="s">
        <v>7</v>
      </c>
      <c r="F6643" s="4" t="s">
        <v>7</v>
      </c>
    </row>
    <row r="6644" spans="1:6" x14ac:dyDescent="0.25">
      <c r="A6644" s="4" t="str">
        <f>CONCATENATE("3071-0000-5278","")</f>
        <v>3071-0000-5278</v>
      </c>
      <c r="B6644" s="4" t="s">
        <v>6756</v>
      </c>
      <c r="C6644" s="5">
        <v>41489</v>
      </c>
      <c r="D6644" s="5">
        <v>41549</v>
      </c>
      <c r="E6644" s="4" t="s">
        <v>5185</v>
      </c>
      <c r="F6644" s="4" t="s">
        <v>5185</v>
      </c>
    </row>
    <row r="6645" spans="1:6" x14ac:dyDescent="0.25">
      <c r="A6645" s="4" t="str">
        <f>CONCATENATE("3071-0000-5789","")</f>
        <v>3071-0000-5789</v>
      </c>
      <c r="B6645" s="4" t="s">
        <v>7041</v>
      </c>
      <c r="C6645" s="5">
        <v>41489</v>
      </c>
      <c r="D6645" s="5">
        <v>41549</v>
      </c>
      <c r="E6645" s="4" t="s">
        <v>5185</v>
      </c>
      <c r="F6645" s="4" t="s">
        <v>5185</v>
      </c>
    </row>
    <row r="6646" spans="1:6" x14ac:dyDescent="0.25">
      <c r="A6646" s="4" t="str">
        <f>CONCATENATE("3071-0000-5494","")</f>
        <v>3071-0000-5494</v>
      </c>
      <c r="B6646" s="4" t="s">
        <v>6666</v>
      </c>
      <c r="C6646" s="5">
        <v>41489</v>
      </c>
      <c r="D6646" s="5">
        <v>41549</v>
      </c>
      <c r="E6646" s="4" t="s">
        <v>1410</v>
      </c>
      <c r="F6646" s="4" t="s">
        <v>6635</v>
      </c>
    </row>
    <row r="6647" spans="1:6" x14ac:dyDescent="0.25">
      <c r="A6647" s="4" t="str">
        <f>CONCATENATE("3071-0000-8270","")</f>
        <v>3071-0000-8270</v>
      </c>
      <c r="B6647" s="4" t="s">
        <v>6208</v>
      </c>
      <c r="C6647" s="5">
        <v>41489</v>
      </c>
      <c r="D6647" s="5">
        <v>41549</v>
      </c>
      <c r="E6647" s="4" t="s">
        <v>5185</v>
      </c>
      <c r="F6647" s="4" t="s">
        <v>5185</v>
      </c>
    </row>
    <row r="6648" spans="1:6" x14ac:dyDescent="0.25">
      <c r="A6648" s="4" t="str">
        <f>CONCATENATE("3071-0000-5317","")</f>
        <v>3071-0000-5317</v>
      </c>
      <c r="B6648" s="4" t="s">
        <v>6730</v>
      </c>
      <c r="C6648" s="5">
        <v>41489</v>
      </c>
      <c r="D6648" s="5">
        <v>41549</v>
      </c>
      <c r="E6648" s="4" t="s">
        <v>5185</v>
      </c>
      <c r="F6648" s="4" t="s">
        <v>5185</v>
      </c>
    </row>
    <row r="6649" spans="1:6" x14ac:dyDescent="0.25">
      <c r="A6649" s="4" t="str">
        <f>CONCATENATE("3071-0000-5717","")</f>
        <v>3071-0000-5717</v>
      </c>
      <c r="B6649" s="4" t="s">
        <v>6993</v>
      </c>
      <c r="C6649" s="5">
        <v>41489</v>
      </c>
      <c r="D6649" s="5">
        <v>41549</v>
      </c>
      <c r="E6649" s="4" t="s">
        <v>5185</v>
      </c>
      <c r="F6649" s="4" t="s">
        <v>5185</v>
      </c>
    </row>
    <row r="6650" spans="1:6" x14ac:dyDescent="0.25">
      <c r="A6650" s="4" t="str">
        <f>CONCATENATE("3071-0000-7357","")</f>
        <v>3071-0000-7357</v>
      </c>
      <c r="B6650" s="4" t="s">
        <v>4678</v>
      </c>
      <c r="C6650" s="5">
        <v>41489</v>
      </c>
      <c r="D6650" s="5">
        <v>41549</v>
      </c>
      <c r="E6650" s="4" t="s">
        <v>1410</v>
      </c>
      <c r="F6650" s="4" t="s">
        <v>1410</v>
      </c>
    </row>
    <row r="6651" spans="1:6" x14ac:dyDescent="0.25">
      <c r="A6651" s="4" t="str">
        <f>CONCATENATE("3071-0000-1480","")</f>
        <v>3071-0000-1480</v>
      </c>
      <c r="B6651" s="4" t="s">
        <v>2929</v>
      </c>
      <c r="C6651" s="5">
        <v>41489</v>
      </c>
      <c r="D6651" s="5">
        <v>41549</v>
      </c>
      <c r="E6651" s="4" t="s">
        <v>1381</v>
      </c>
      <c r="F6651" s="4" t="s">
        <v>2303</v>
      </c>
    </row>
    <row r="6652" spans="1:6" x14ac:dyDescent="0.25">
      <c r="A6652" s="4" t="str">
        <f>CONCATENATE("3071-0000-6794","")</f>
        <v>3071-0000-6794</v>
      </c>
      <c r="B6652" s="4" t="s">
        <v>8058</v>
      </c>
      <c r="C6652" s="5">
        <v>41489</v>
      </c>
      <c r="D6652" s="5">
        <v>41549</v>
      </c>
      <c r="E6652" s="4" t="s">
        <v>1410</v>
      </c>
      <c r="F6652" s="4" t="s">
        <v>4655</v>
      </c>
    </row>
    <row r="6653" spans="1:6" x14ac:dyDescent="0.25">
      <c r="A6653" s="4" t="str">
        <f>CONCATENATE("3071-0000-6531","")</f>
        <v>3071-0000-6531</v>
      </c>
      <c r="B6653" s="4" t="s">
        <v>7957</v>
      </c>
      <c r="C6653" s="5">
        <v>41489</v>
      </c>
      <c r="D6653" s="5">
        <v>41549</v>
      </c>
      <c r="E6653" s="4" t="s">
        <v>5185</v>
      </c>
      <c r="F6653" s="4" t="s">
        <v>5185</v>
      </c>
    </row>
    <row r="6654" spans="1:6" x14ac:dyDescent="0.25">
      <c r="A6654" s="4" t="str">
        <f>CONCATENATE("3071-0000-7881","")</f>
        <v>3071-0000-7881</v>
      </c>
      <c r="B6654" s="4" t="s">
        <v>5207</v>
      </c>
      <c r="C6654" s="5">
        <v>41489</v>
      </c>
      <c r="D6654" s="5">
        <v>41549</v>
      </c>
      <c r="E6654" s="4" t="s">
        <v>5185</v>
      </c>
      <c r="F6654" s="4" t="s">
        <v>5185</v>
      </c>
    </row>
    <row r="6655" spans="1:6" x14ac:dyDescent="0.25">
      <c r="A6655" s="4" t="str">
        <f>CONCATENATE("3071-0000-0939","")</f>
        <v>3071-0000-0939</v>
      </c>
      <c r="B6655" s="4" t="s">
        <v>2074</v>
      </c>
      <c r="C6655" s="5">
        <v>41489</v>
      </c>
      <c r="D6655" s="5">
        <v>41549</v>
      </c>
      <c r="E6655" s="4" t="s">
        <v>1857</v>
      </c>
      <c r="F6655" s="4" t="s">
        <v>1857</v>
      </c>
    </row>
    <row r="6656" spans="1:6" x14ac:dyDescent="0.25">
      <c r="A6656" s="4" t="str">
        <f>CONCATENATE("3071-0000-1043","")</f>
        <v>3071-0000-1043</v>
      </c>
      <c r="B6656" s="4" t="s">
        <v>2273</v>
      </c>
      <c r="C6656" s="5">
        <v>41489</v>
      </c>
      <c r="D6656" s="5">
        <v>41549</v>
      </c>
      <c r="E6656" s="4" t="s">
        <v>1857</v>
      </c>
      <c r="F6656" s="4" t="s">
        <v>1857</v>
      </c>
    </row>
    <row r="6657" spans="1:6" x14ac:dyDescent="0.25">
      <c r="A6657" s="4" t="str">
        <f>CONCATENATE("3071-0000-0412","")</f>
        <v>3071-0000-0412</v>
      </c>
      <c r="B6657" s="4" t="s">
        <v>611</v>
      </c>
      <c r="C6657" s="5">
        <v>41489</v>
      </c>
      <c r="D6657" s="5">
        <v>41549</v>
      </c>
      <c r="E6657" s="4" t="s">
        <v>7</v>
      </c>
      <c r="F6657" s="4" t="s">
        <v>7</v>
      </c>
    </row>
    <row r="6658" spans="1:6" x14ac:dyDescent="0.25">
      <c r="A6658" s="4" t="str">
        <f>CONCATENATE("3071-0000-3243","")</f>
        <v>3071-0000-3243</v>
      </c>
      <c r="B6658" s="4" t="s">
        <v>925</v>
      </c>
      <c r="C6658" s="5">
        <v>41489</v>
      </c>
      <c r="D6658" s="5">
        <v>41549</v>
      </c>
      <c r="E6658" s="4" t="s">
        <v>7</v>
      </c>
      <c r="F6658" s="4" t="s">
        <v>808</v>
      </c>
    </row>
    <row r="6659" spans="1:6" x14ac:dyDescent="0.25">
      <c r="A6659" s="4" t="str">
        <f>CONCATENATE("3071-0000-1458","")</f>
        <v>3071-0000-1458</v>
      </c>
      <c r="B6659" s="4" t="s">
        <v>2899</v>
      </c>
      <c r="C6659" s="5">
        <v>41489</v>
      </c>
      <c r="D6659" s="5">
        <v>41549</v>
      </c>
      <c r="E6659" s="4" t="s">
        <v>1381</v>
      </c>
      <c r="F6659" s="4" t="s">
        <v>2303</v>
      </c>
    </row>
    <row r="6660" spans="1:6" x14ac:dyDescent="0.25">
      <c r="A6660" s="4" t="str">
        <f>CONCATENATE("3071-0000-7383","")</f>
        <v>3071-0000-7383</v>
      </c>
      <c r="B6660" s="4" t="s">
        <v>4426</v>
      </c>
      <c r="C6660" s="5">
        <v>41489</v>
      </c>
      <c r="D6660" s="5">
        <v>41549</v>
      </c>
      <c r="E6660" s="4" t="s">
        <v>1410</v>
      </c>
      <c r="F6660" s="4" t="s">
        <v>1410</v>
      </c>
    </row>
    <row r="6661" spans="1:6" x14ac:dyDescent="0.25">
      <c r="A6661" s="4" t="str">
        <f>CONCATENATE("3071-0000-0312","")</f>
        <v>3071-0000-0312</v>
      </c>
      <c r="B6661" s="4" t="s">
        <v>734</v>
      </c>
      <c r="C6661" s="5">
        <v>41489</v>
      </c>
      <c r="D6661" s="5">
        <v>41549</v>
      </c>
      <c r="E6661" s="4" t="s">
        <v>7</v>
      </c>
      <c r="F6661" s="4" t="s">
        <v>273</v>
      </c>
    </row>
    <row r="6662" spans="1:6" x14ac:dyDescent="0.25">
      <c r="A6662" s="4" t="str">
        <f>CONCATENATE("3071-0000-1106","")</f>
        <v>3071-0000-1106</v>
      </c>
      <c r="B6662" s="4" t="s">
        <v>2297</v>
      </c>
      <c r="C6662" s="5">
        <v>41489</v>
      </c>
      <c r="D6662" s="5">
        <v>41549</v>
      </c>
      <c r="E6662" s="4" t="s">
        <v>1381</v>
      </c>
      <c r="F6662" s="4" t="s">
        <v>2259</v>
      </c>
    </row>
    <row r="6663" spans="1:6" x14ac:dyDescent="0.25">
      <c r="A6663" s="4" t="str">
        <f>CONCATENATE("3071-0000-0009","")</f>
        <v>3071-0000-0009</v>
      </c>
      <c r="B6663" s="4" t="s">
        <v>17</v>
      </c>
      <c r="C6663" s="5">
        <v>41489</v>
      </c>
      <c r="D6663" s="5">
        <v>41549</v>
      </c>
      <c r="E6663" s="4" t="s">
        <v>7</v>
      </c>
      <c r="F6663" s="4" t="s">
        <v>7</v>
      </c>
    </row>
    <row r="6664" spans="1:6" x14ac:dyDescent="0.25">
      <c r="A6664" s="4" t="str">
        <f>CONCATENATE("3071-0000-1026","")</f>
        <v>3071-0000-1026</v>
      </c>
      <c r="B6664" s="4" t="s">
        <v>2253</v>
      </c>
      <c r="C6664" s="5">
        <v>41489</v>
      </c>
      <c r="D6664" s="5">
        <v>41549</v>
      </c>
      <c r="E6664" s="4" t="s">
        <v>1381</v>
      </c>
      <c r="F6664" s="4" t="s">
        <v>2236</v>
      </c>
    </row>
    <row r="6665" spans="1:6" x14ac:dyDescent="0.25">
      <c r="A6665" s="4" t="str">
        <f>CONCATENATE("3071-0000-2912","")</f>
        <v>3071-0000-2912</v>
      </c>
      <c r="B6665" s="4" t="s">
        <v>1333</v>
      </c>
      <c r="C6665" s="5">
        <v>41489</v>
      </c>
      <c r="D6665" s="5">
        <v>41549</v>
      </c>
      <c r="E6665" s="4" t="s">
        <v>7</v>
      </c>
      <c r="F6665" s="4" t="s">
        <v>808</v>
      </c>
    </row>
    <row r="6666" spans="1:6" x14ac:dyDescent="0.25">
      <c r="A6666" s="4" t="str">
        <f>CONCATENATE("3071-0000-9374","")</f>
        <v>3071-0000-9374</v>
      </c>
      <c r="B6666" s="4" t="s">
        <v>8437</v>
      </c>
      <c r="C6666" s="5">
        <v>41489</v>
      </c>
      <c r="D6666" s="5">
        <v>41549</v>
      </c>
      <c r="E6666" s="4" t="s">
        <v>1410</v>
      </c>
      <c r="F6666" s="4" t="s">
        <v>4459</v>
      </c>
    </row>
    <row r="6667" spans="1:6" x14ac:dyDescent="0.25">
      <c r="A6667" s="4" t="str">
        <f>CONCATENATE("3071-0000-5646","")</f>
        <v>3071-0000-5646</v>
      </c>
      <c r="B6667" s="4" t="s">
        <v>7272</v>
      </c>
      <c r="C6667" s="5">
        <v>41489</v>
      </c>
      <c r="D6667" s="5">
        <v>41549</v>
      </c>
      <c r="E6667" s="4" t="s">
        <v>5185</v>
      </c>
      <c r="F6667" s="4" t="s">
        <v>5185</v>
      </c>
    </row>
    <row r="6668" spans="1:6" x14ac:dyDescent="0.25">
      <c r="A6668" s="4" t="str">
        <f>CONCATENATE("3071-0000-1642","")</f>
        <v>3071-0000-1642</v>
      </c>
      <c r="B6668" s="4" t="s">
        <v>2720</v>
      </c>
      <c r="C6668" s="5">
        <v>41489</v>
      </c>
      <c r="D6668" s="5">
        <v>41549</v>
      </c>
      <c r="E6668" s="4" t="s">
        <v>1381</v>
      </c>
      <c r="F6668" s="4" t="s">
        <v>2303</v>
      </c>
    </row>
    <row r="6669" spans="1:6" x14ac:dyDescent="0.25">
      <c r="A6669" s="4" t="str">
        <f>CONCATENATE("3071-0000-3877","")</f>
        <v>3071-0000-3877</v>
      </c>
      <c r="B6669" s="4" t="s">
        <v>4027</v>
      </c>
      <c r="C6669" s="5">
        <v>41489</v>
      </c>
      <c r="D6669" s="5">
        <v>41549</v>
      </c>
      <c r="E6669" s="4" t="s">
        <v>1381</v>
      </c>
      <c r="F6669" s="4" t="s">
        <v>3994</v>
      </c>
    </row>
    <row r="6670" spans="1:6" x14ac:dyDescent="0.25">
      <c r="A6670" s="4" t="str">
        <f>CONCATENATE("3071-0000-7736","")</f>
        <v>3071-0000-7736</v>
      </c>
      <c r="B6670" s="4" t="s">
        <v>4360</v>
      </c>
      <c r="C6670" s="5">
        <v>41489</v>
      </c>
      <c r="D6670" s="5">
        <v>41549</v>
      </c>
      <c r="E6670" s="4" t="s">
        <v>1410</v>
      </c>
      <c r="F6670" s="4" t="s">
        <v>1410</v>
      </c>
    </row>
    <row r="6671" spans="1:6" x14ac:dyDescent="0.25">
      <c r="A6671" s="4" t="str">
        <f>CONCATENATE("3071-0000-4732","")</f>
        <v>3071-0000-4732</v>
      </c>
      <c r="B6671" s="4" t="s">
        <v>9671</v>
      </c>
      <c r="C6671" s="5">
        <v>41489</v>
      </c>
      <c r="D6671" s="5">
        <v>41549</v>
      </c>
      <c r="E6671" s="4" t="s">
        <v>7069</v>
      </c>
      <c r="F6671" s="4" t="s">
        <v>9554</v>
      </c>
    </row>
    <row r="6672" spans="1:6" x14ac:dyDescent="0.25">
      <c r="A6672" s="4" t="str">
        <f>CONCATENATE("3071-0000-1564","")</f>
        <v>3071-0000-1564</v>
      </c>
      <c r="B6672" s="4" t="s">
        <v>2778</v>
      </c>
      <c r="C6672" s="5">
        <v>41489</v>
      </c>
      <c r="D6672" s="5">
        <v>41549</v>
      </c>
      <c r="E6672" s="4" t="s">
        <v>1381</v>
      </c>
      <c r="F6672" s="4" t="s">
        <v>2303</v>
      </c>
    </row>
    <row r="6673" spans="1:6" x14ac:dyDescent="0.25">
      <c r="A6673" s="4" t="str">
        <f>CONCATENATE("3071-0000-6350","")</f>
        <v>3071-0000-6350</v>
      </c>
      <c r="B6673" s="4" t="s">
        <v>7868</v>
      </c>
      <c r="C6673" s="5">
        <v>41489</v>
      </c>
      <c r="D6673" s="5">
        <v>41549</v>
      </c>
      <c r="E6673" s="4" t="s">
        <v>5185</v>
      </c>
      <c r="F6673" s="4" t="s">
        <v>5185</v>
      </c>
    </row>
    <row r="6674" spans="1:6" x14ac:dyDescent="0.25">
      <c r="A6674" s="4" t="str">
        <f>CONCATENATE("3071-0000-5443","")</f>
        <v>3071-0000-5443</v>
      </c>
      <c r="B6674" s="4" t="s">
        <v>6904</v>
      </c>
      <c r="C6674" s="5">
        <v>41489</v>
      </c>
      <c r="D6674" s="5">
        <v>41549</v>
      </c>
      <c r="E6674" s="4" t="s">
        <v>5185</v>
      </c>
      <c r="F6674" s="4" t="s">
        <v>5185</v>
      </c>
    </row>
    <row r="6675" spans="1:6" x14ac:dyDescent="0.25">
      <c r="A6675" s="4" t="str">
        <f>CONCATENATE("3071-0000-6395","")</f>
        <v>3071-0000-6395</v>
      </c>
      <c r="B6675" s="4" t="s">
        <v>7834</v>
      </c>
      <c r="C6675" s="5">
        <v>41489</v>
      </c>
      <c r="D6675" s="5">
        <v>41549</v>
      </c>
      <c r="E6675" s="4" t="s">
        <v>5185</v>
      </c>
      <c r="F6675" s="4" t="s">
        <v>5185</v>
      </c>
    </row>
    <row r="6676" spans="1:6" x14ac:dyDescent="0.25">
      <c r="A6676" s="4" t="str">
        <f>CONCATENATE("3071-0000-6491","")</f>
        <v>3071-0000-6491</v>
      </c>
      <c r="B6676" s="4" t="s">
        <v>7786</v>
      </c>
      <c r="C6676" s="5">
        <v>41489</v>
      </c>
      <c r="D6676" s="5">
        <v>41549</v>
      </c>
      <c r="E6676" s="4" t="s">
        <v>5185</v>
      </c>
      <c r="F6676" s="4" t="s">
        <v>5185</v>
      </c>
    </row>
    <row r="6677" spans="1:6" x14ac:dyDescent="0.25">
      <c r="A6677" s="4" t="str">
        <f>CONCATENATE("3071-0000-5580","")</f>
        <v>3071-0000-5580</v>
      </c>
      <c r="B6677" s="4" t="s">
        <v>7504</v>
      </c>
      <c r="C6677" s="5">
        <v>41489</v>
      </c>
      <c r="D6677" s="5">
        <v>41549</v>
      </c>
      <c r="E6677" s="4" t="s">
        <v>5185</v>
      </c>
      <c r="F6677" s="4" t="s">
        <v>5185</v>
      </c>
    </row>
    <row r="6678" spans="1:6" x14ac:dyDescent="0.25">
      <c r="A6678" s="4" t="str">
        <f>CONCATENATE("3071-0000-6871","")</f>
        <v>3071-0000-6871</v>
      </c>
      <c r="B6678" s="4" t="s">
        <v>5060</v>
      </c>
      <c r="C6678" s="5">
        <v>41489</v>
      </c>
      <c r="D6678" s="5">
        <v>41549</v>
      </c>
      <c r="E6678" s="4" t="s">
        <v>1410</v>
      </c>
      <c r="F6678" s="4" t="s">
        <v>4616</v>
      </c>
    </row>
    <row r="6679" spans="1:6" x14ac:dyDescent="0.25">
      <c r="A6679" s="4" t="str">
        <f>CONCATENATE("3071-0000-9345","")</f>
        <v>3071-0000-9345</v>
      </c>
      <c r="B6679" s="4" t="s">
        <v>8471</v>
      </c>
      <c r="C6679" s="5">
        <v>41489</v>
      </c>
      <c r="D6679" s="5">
        <v>41549</v>
      </c>
      <c r="E6679" s="4" t="s">
        <v>1410</v>
      </c>
      <c r="F6679" s="4" t="s">
        <v>4459</v>
      </c>
    </row>
    <row r="6680" spans="1:6" x14ac:dyDescent="0.25">
      <c r="A6680" s="4" t="str">
        <f>CONCATENATE("3071-0000-6063","")</f>
        <v>3071-0000-6063</v>
      </c>
      <c r="B6680" s="4" t="s">
        <v>7610</v>
      </c>
      <c r="C6680" s="5">
        <v>41489</v>
      </c>
      <c r="D6680" s="5">
        <v>41549</v>
      </c>
      <c r="E6680" s="4" t="s">
        <v>1410</v>
      </c>
      <c r="F6680" s="4" t="s">
        <v>1410</v>
      </c>
    </row>
    <row r="6681" spans="1:6" x14ac:dyDescent="0.25">
      <c r="A6681" s="4" t="str">
        <f>CONCATENATE("3071-0000-8551","")</f>
        <v>3071-0000-8551</v>
      </c>
      <c r="B6681" s="4" t="s">
        <v>6119</v>
      </c>
      <c r="C6681" s="5">
        <v>41489</v>
      </c>
      <c r="D6681" s="5">
        <v>41549</v>
      </c>
      <c r="E6681" s="4" t="s">
        <v>5185</v>
      </c>
      <c r="F6681" s="4" t="s">
        <v>5945</v>
      </c>
    </row>
    <row r="6682" spans="1:6" x14ac:dyDescent="0.25">
      <c r="A6682" s="4" t="str">
        <f>CONCATENATE("3071-0000-6044","")</f>
        <v>3071-0000-6044</v>
      </c>
      <c r="B6682" s="4" t="s">
        <v>6941</v>
      </c>
      <c r="C6682" s="5">
        <v>41489</v>
      </c>
      <c r="D6682" s="5">
        <v>41549</v>
      </c>
      <c r="E6682" s="4" t="s">
        <v>1410</v>
      </c>
      <c r="F6682" s="4" t="s">
        <v>4616</v>
      </c>
    </row>
    <row r="6683" spans="1:6" x14ac:dyDescent="0.25">
      <c r="A6683" s="4" t="str">
        <f>CONCATENATE("3071-0000-6038","")</f>
        <v>3071-0000-6038</v>
      </c>
      <c r="B6683" s="4" t="s">
        <v>6942</v>
      </c>
      <c r="C6683" s="5">
        <v>41489</v>
      </c>
      <c r="D6683" s="5">
        <v>41549</v>
      </c>
      <c r="E6683" s="4" t="s">
        <v>1410</v>
      </c>
      <c r="F6683" s="4" t="s">
        <v>4616</v>
      </c>
    </row>
    <row r="6684" spans="1:6" x14ac:dyDescent="0.25">
      <c r="A6684" s="4" t="str">
        <f>CONCATENATE("3071-0000-7170","")</f>
        <v>3071-0000-7170</v>
      </c>
      <c r="B6684" s="4" t="s">
        <v>5067</v>
      </c>
      <c r="C6684" s="5">
        <v>41489</v>
      </c>
      <c r="D6684" s="5">
        <v>41549</v>
      </c>
      <c r="E6684" s="4" t="s">
        <v>1410</v>
      </c>
      <c r="F6684" s="4" t="s">
        <v>1410</v>
      </c>
    </row>
    <row r="6685" spans="1:6" x14ac:dyDescent="0.25">
      <c r="A6685" s="4" t="str">
        <f>CONCATENATE("3071-0000-5239","")</f>
        <v>3071-0000-5239</v>
      </c>
      <c r="B6685" s="4" t="s">
        <v>6719</v>
      </c>
      <c r="C6685" s="5">
        <v>41489</v>
      </c>
      <c r="D6685" s="5">
        <v>41549</v>
      </c>
      <c r="E6685" s="4" t="s">
        <v>5185</v>
      </c>
      <c r="F6685" s="4" t="s">
        <v>5185</v>
      </c>
    </row>
    <row r="6686" spans="1:6" x14ac:dyDescent="0.25">
      <c r="A6686" s="4" t="str">
        <f>CONCATENATE("3071-0000-3917","")</f>
        <v>3071-0000-3917</v>
      </c>
      <c r="B6686" s="4" t="s">
        <v>4063</v>
      </c>
      <c r="C6686" s="5">
        <v>41489</v>
      </c>
      <c r="D6686" s="5">
        <v>41549</v>
      </c>
      <c r="E6686" s="4" t="s">
        <v>1381</v>
      </c>
      <c r="F6686" s="4" t="s">
        <v>4057</v>
      </c>
    </row>
    <row r="6687" spans="1:6" x14ac:dyDescent="0.25">
      <c r="A6687" s="4" t="str">
        <f>CONCATENATE("3071-0000-4156","")</f>
        <v>3071-0000-4156</v>
      </c>
      <c r="B6687" s="4" t="s">
        <v>4054</v>
      </c>
      <c r="C6687" s="5">
        <v>41489</v>
      </c>
      <c r="D6687" s="5">
        <v>41549</v>
      </c>
      <c r="E6687" s="4" t="s">
        <v>1381</v>
      </c>
      <c r="F6687" s="4" t="s">
        <v>4044</v>
      </c>
    </row>
    <row r="6688" spans="1:6" x14ac:dyDescent="0.25">
      <c r="A6688" s="4" t="str">
        <f>CONCATENATE("3071-0000-0454","")</f>
        <v>3071-0000-0454</v>
      </c>
      <c r="B6688" s="4" t="s">
        <v>371</v>
      </c>
      <c r="C6688" s="5">
        <v>41489</v>
      </c>
      <c r="D6688" s="5">
        <v>41549</v>
      </c>
      <c r="E6688" s="4" t="s">
        <v>7</v>
      </c>
      <c r="F6688" s="4" t="s">
        <v>7</v>
      </c>
    </row>
    <row r="6689" spans="1:6" x14ac:dyDescent="0.25">
      <c r="A6689" s="4" t="str">
        <f>CONCATENATE("3071-0000-4196","")</f>
        <v>3071-0000-4196</v>
      </c>
      <c r="B6689" s="4" t="s">
        <v>4037</v>
      </c>
      <c r="C6689" s="5">
        <v>41489</v>
      </c>
      <c r="D6689" s="5">
        <v>41549</v>
      </c>
      <c r="E6689" s="4" t="s">
        <v>1381</v>
      </c>
      <c r="F6689" s="4" t="s">
        <v>3994</v>
      </c>
    </row>
    <row r="6690" spans="1:6" x14ac:dyDescent="0.25">
      <c r="A6690" s="4" t="str">
        <f>CONCATENATE("3071-0000-0604","")</f>
        <v>3071-0000-0604</v>
      </c>
      <c r="B6690" s="4" t="s">
        <v>615</v>
      </c>
      <c r="C6690" s="5">
        <v>41489</v>
      </c>
      <c r="D6690" s="5">
        <v>41549</v>
      </c>
      <c r="E6690" s="4" t="s">
        <v>7</v>
      </c>
      <c r="F6690" s="4" t="s">
        <v>7</v>
      </c>
    </row>
    <row r="6691" spans="1:6" x14ac:dyDescent="0.25">
      <c r="A6691" s="4" t="str">
        <f>CONCATENATE("3071-0000-2105","")</f>
        <v>3071-0000-2105</v>
      </c>
      <c r="B6691" s="4" t="s">
        <v>3496</v>
      </c>
      <c r="C6691" s="5">
        <v>41489</v>
      </c>
      <c r="D6691" s="5">
        <v>41549</v>
      </c>
      <c r="E6691" s="4" t="s">
        <v>2944</v>
      </c>
      <c r="F6691" s="4" t="s">
        <v>2945</v>
      </c>
    </row>
    <row r="6692" spans="1:6" x14ac:dyDescent="0.25">
      <c r="A6692" s="4" t="str">
        <f>CONCATENATE("3071-0000-2093","")</f>
        <v>3071-0000-2093</v>
      </c>
      <c r="B6692" s="4" t="s">
        <v>3479</v>
      </c>
      <c r="C6692" s="5">
        <v>41489</v>
      </c>
      <c r="D6692" s="5">
        <v>41549</v>
      </c>
      <c r="E6692" s="4" t="s">
        <v>2944</v>
      </c>
      <c r="F6692" s="4" t="s">
        <v>2945</v>
      </c>
    </row>
    <row r="6693" spans="1:6" x14ac:dyDescent="0.25">
      <c r="A6693" s="4" t="str">
        <f>CONCATENATE("3071-0000-6725","")</f>
        <v>3071-0000-6725</v>
      </c>
      <c r="B6693" s="4" t="s">
        <v>7790</v>
      </c>
      <c r="C6693" s="5">
        <v>41489</v>
      </c>
      <c r="D6693" s="5">
        <v>41549</v>
      </c>
      <c r="E6693" s="4" t="s">
        <v>5185</v>
      </c>
      <c r="F6693" s="4" t="s">
        <v>5185</v>
      </c>
    </row>
    <row r="6694" spans="1:6" x14ac:dyDescent="0.25">
      <c r="A6694" s="4" t="str">
        <f>CONCATENATE("3071-0000-4214","")</f>
        <v>3071-0000-4214</v>
      </c>
      <c r="B6694" s="4" t="s">
        <v>4105</v>
      </c>
      <c r="C6694" s="5">
        <v>41489</v>
      </c>
      <c r="D6694" s="5">
        <v>41549</v>
      </c>
      <c r="E6694" s="4" t="s">
        <v>1381</v>
      </c>
      <c r="F6694" s="4" t="s">
        <v>3698</v>
      </c>
    </row>
    <row r="6695" spans="1:6" x14ac:dyDescent="0.25">
      <c r="A6695" s="4" t="str">
        <f>CONCATENATE("3071-0000-0740","")</f>
        <v>3071-0000-0740</v>
      </c>
      <c r="B6695" s="4" t="s">
        <v>715</v>
      </c>
      <c r="C6695" s="5">
        <v>41489</v>
      </c>
      <c r="D6695" s="5">
        <v>41549</v>
      </c>
      <c r="E6695" s="4" t="s">
        <v>7</v>
      </c>
      <c r="F6695" s="4" t="s">
        <v>7</v>
      </c>
    </row>
    <row r="6696" spans="1:6" x14ac:dyDescent="0.25">
      <c r="A6696" s="4" t="str">
        <f>CONCATENATE("3071-0000-2072","")</f>
        <v>3071-0000-2072</v>
      </c>
      <c r="B6696" s="4" t="s">
        <v>3452</v>
      </c>
      <c r="C6696" s="5">
        <v>41489</v>
      </c>
      <c r="D6696" s="5">
        <v>41549</v>
      </c>
      <c r="E6696" s="4" t="s">
        <v>2944</v>
      </c>
      <c r="F6696" s="4" t="s">
        <v>2945</v>
      </c>
    </row>
    <row r="6697" spans="1:6" x14ac:dyDescent="0.25">
      <c r="A6697" s="4" t="str">
        <f>CONCATENATE("3071-0000-4211","")</f>
        <v>3071-0000-4211</v>
      </c>
      <c r="B6697" s="4" t="s">
        <v>3875</v>
      </c>
      <c r="C6697" s="5">
        <v>41489</v>
      </c>
      <c r="D6697" s="5">
        <v>41549</v>
      </c>
      <c r="E6697" s="4" t="s">
        <v>7</v>
      </c>
      <c r="F6697" s="4" t="s">
        <v>3818</v>
      </c>
    </row>
    <row r="6698" spans="1:6" x14ac:dyDescent="0.25">
      <c r="A6698" s="4" t="str">
        <f>CONCATENATE("3071-0000-0096","")</f>
        <v>3071-0000-0096</v>
      </c>
      <c r="B6698" s="4" t="s">
        <v>187</v>
      </c>
      <c r="C6698" s="5">
        <v>41489</v>
      </c>
      <c r="D6698" s="5">
        <v>41549</v>
      </c>
      <c r="E6698" s="4" t="s">
        <v>7</v>
      </c>
      <c r="F6698" s="4" t="s">
        <v>7</v>
      </c>
    </row>
    <row r="6699" spans="1:6" x14ac:dyDescent="0.25">
      <c r="A6699" s="4" t="str">
        <f>CONCATENATE("3071-0000-8605","")</f>
        <v>3071-0000-8605</v>
      </c>
      <c r="B6699" s="4" t="s">
        <v>6117</v>
      </c>
      <c r="C6699" s="5">
        <v>41489</v>
      </c>
      <c r="D6699" s="5">
        <v>41549</v>
      </c>
      <c r="E6699" s="4" t="s">
        <v>5185</v>
      </c>
      <c r="F6699" s="4" t="s">
        <v>5945</v>
      </c>
    </row>
    <row r="6700" spans="1:6" x14ac:dyDescent="0.25">
      <c r="A6700" s="4" t="str">
        <f>CONCATENATE("3071-0000-0345","")</f>
        <v>3071-0000-0345</v>
      </c>
      <c r="B6700" s="4" t="s">
        <v>303</v>
      </c>
      <c r="C6700" s="5">
        <v>41489</v>
      </c>
      <c r="D6700" s="5">
        <v>41549</v>
      </c>
      <c r="E6700" s="4" t="s">
        <v>7</v>
      </c>
      <c r="F6700" s="4" t="s">
        <v>7</v>
      </c>
    </row>
    <row r="6701" spans="1:6" x14ac:dyDescent="0.25">
      <c r="A6701" s="4" t="str">
        <f>CONCATENATE("3071-0000-5934","")</f>
        <v>3071-0000-5934</v>
      </c>
      <c r="B6701" s="4" t="s">
        <v>7290</v>
      </c>
      <c r="C6701" s="5">
        <v>41489</v>
      </c>
      <c r="D6701" s="5">
        <v>41549</v>
      </c>
      <c r="E6701" s="4" t="s">
        <v>5185</v>
      </c>
      <c r="F6701" s="4" t="s">
        <v>5185</v>
      </c>
    </row>
    <row r="6702" spans="1:6" x14ac:dyDescent="0.25">
      <c r="A6702" s="4" t="str">
        <f>CONCATENATE("3071-0000-7749","")</f>
        <v>3071-0000-7749</v>
      </c>
      <c r="B6702" s="4" t="s">
        <v>4694</v>
      </c>
      <c r="C6702" s="5">
        <v>41489</v>
      </c>
      <c r="D6702" s="5">
        <v>41549</v>
      </c>
      <c r="E6702" s="4" t="s">
        <v>1410</v>
      </c>
      <c r="F6702" s="4" t="s">
        <v>4655</v>
      </c>
    </row>
    <row r="6703" spans="1:6" x14ac:dyDescent="0.25">
      <c r="A6703" s="4" t="str">
        <f>CONCATENATE("3071-0000-6389","")</f>
        <v>3071-0000-6389</v>
      </c>
      <c r="B6703" s="4" t="s">
        <v>7840</v>
      </c>
      <c r="C6703" s="5">
        <v>41489</v>
      </c>
      <c r="D6703" s="5">
        <v>41549</v>
      </c>
      <c r="E6703" s="4" t="s">
        <v>5185</v>
      </c>
      <c r="F6703" s="4" t="s">
        <v>5185</v>
      </c>
    </row>
    <row r="6704" spans="1:6" x14ac:dyDescent="0.25">
      <c r="A6704" s="4" t="str">
        <f>CONCATENATE("3071-0000-6266","")</f>
        <v>3071-0000-6266</v>
      </c>
      <c r="B6704" s="4" t="s">
        <v>7203</v>
      </c>
      <c r="C6704" s="5">
        <v>41489</v>
      </c>
      <c r="D6704" s="5">
        <v>41549</v>
      </c>
      <c r="E6704" s="4" t="s">
        <v>7069</v>
      </c>
      <c r="F6704" s="4" t="s">
        <v>7183</v>
      </c>
    </row>
    <row r="6705" spans="1:6" x14ac:dyDescent="0.25">
      <c r="A6705" s="4" t="str">
        <f>CONCATENATE("3071-0000-3581","")</f>
        <v>3071-0000-3581</v>
      </c>
      <c r="B6705" s="4" t="s">
        <v>1544</v>
      </c>
      <c r="C6705" s="5">
        <v>41489</v>
      </c>
      <c r="D6705" s="5">
        <v>41549</v>
      </c>
      <c r="E6705" s="4" t="s">
        <v>1410</v>
      </c>
      <c r="F6705" s="4" t="s">
        <v>1411</v>
      </c>
    </row>
    <row r="6706" spans="1:6" x14ac:dyDescent="0.25">
      <c r="A6706" s="4" t="str">
        <f>CONCATENATE("3071-0000-3428","")</f>
        <v>3071-0000-3428</v>
      </c>
      <c r="B6706" s="4" t="s">
        <v>1695</v>
      </c>
      <c r="C6706" s="5">
        <v>41489</v>
      </c>
      <c r="D6706" s="5">
        <v>41549</v>
      </c>
      <c r="E6706" s="4" t="s">
        <v>1410</v>
      </c>
      <c r="F6706" s="4" t="s">
        <v>1411</v>
      </c>
    </row>
    <row r="6707" spans="1:6" x14ac:dyDescent="0.25">
      <c r="A6707" s="4" t="str">
        <f>CONCATENATE("3071-0000-5619","")</f>
        <v>3071-0000-5619</v>
      </c>
      <c r="B6707" s="4" t="s">
        <v>7197</v>
      </c>
      <c r="C6707" s="5">
        <v>41489</v>
      </c>
      <c r="D6707" s="5">
        <v>41549</v>
      </c>
      <c r="E6707" s="4" t="s">
        <v>5185</v>
      </c>
      <c r="F6707" s="4" t="s">
        <v>5185</v>
      </c>
    </row>
    <row r="6708" spans="1:6" x14ac:dyDescent="0.25">
      <c r="A6708" s="4" t="str">
        <f>CONCATENATE("3071-0000-3435","")</f>
        <v>3071-0000-3435</v>
      </c>
      <c r="B6708" s="4" t="s">
        <v>1712</v>
      </c>
      <c r="C6708" s="5">
        <v>41489</v>
      </c>
      <c r="D6708" s="5">
        <v>41549</v>
      </c>
      <c r="E6708" s="4" t="s">
        <v>1410</v>
      </c>
      <c r="F6708" s="4" t="s">
        <v>1411</v>
      </c>
    </row>
    <row r="6709" spans="1:6" x14ac:dyDescent="0.25">
      <c r="A6709" s="4" t="str">
        <f>CONCATENATE("3071-0000-6780","")</f>
        <v>3071-0000-6780</v>
      </c>
      <c r="B6709" s="4" t="s">
        <v>8056</v>
      </c>
      <c r="C6709" s="5">
        <v>41489</v>
      </c>
      <c r="D6709" s="5">
        <v>41549</v>
      </c>
      <c r="E6709" s="4" t="s">
        <v>1410</v>
      </c>
      <c r="F6709" s="4" t="s">
        <v>4655</v>
      </c>
    </row>
    <row r="6710" spans="1:6" x14ac:dyDescent="0.25">
      <c r="A6710" s="4" t="str">
        <f>CONCATENATE("3071-0000-3580","")</f>
        <v>3071-0000-3580</v>
      </c>
      <c r="B6710" s="4" t="s">
        <v>1714</v>
      </c>
      <c r="C6710" s="5">
        <v>41489</v>
      </c>
      <c r="D6710" s="5">
        <v>41549</v>
      </c>
      <c r="E6710" s="4" t="s">
        <v>1410</v>
      </c>
      <c r="F6710" s="4" t="s">
        <v>1411</v>
      </c>
    </row>
    <row r="6711" spans="1:6" x14ac:dyDescent="0.25">
      <c r="A6711" s="4" t="str">
        <f>CONCATENATE("3071-0000-3595","")</f>
        <v>3071-0000-3595</v>
      </c>
      <c r="B6711" s="4" t="s">
        <v>1706</v>
      </c>
      <c r="C6711" s="5">
        <v>41489</v>
      </c>
      <c r="D6711" s="5">
        <v>41549</v>
      </c>
      <c r="E6711" s="4" t="s">
        <v>1410</v>
      </c>
      <c r="F6711" s="4" t="s">
        <v>1613</v>
      </c>
    </row>
    <row r="6712" spans="1:6" x14ac:dyDescent="0.25">
      <c r="A6712" s="4" t="str">
        <f>CONCATENATE("3071-0000-7599","")</f>
        <v>3071-0000-7599</v>
      </c>
      <c r="B6712" s="4" t="s">
        <v>4414</v>
      </c>
      <c r="C6712" s="5">
        <v>41489</v>
      </c>
      <c r="D6712" s="5">
        <v>41549</v>
      </c>
      <c r="E6712" s="4" t="s">
        <v>1410</v>
      </c>
      <c r="F6712" s="4" t="s">
        <v>1410</v>
      </c>
    </row>
    <row r="6713" spans="1:6" x14ac:dyDescent="0.25">
      <c r="A6713" s="4" t="str">
        <f>CONCATENATE("3071-0000-3431","")</f>
        <v>3071-0000-3431</v>
      </c>
      <c r="B6713" s="4" t="s">
        <v>1703</v>
      </c>
      <c r="C6713" s="5">
        <v>41489</v>
      </c>
      <c r="D6713" s="5">
        <v>41549</v>
      </c>
      <c r="E6713" s="4" t="s">
        <v>1410</v>
      </c>
      <c r="F6713" s="4" t="s">
        <v>1411</v>
      </c>
    </row>
    <row r="6714" spans="1:6" x14ac:dyDescent="0.25">
      <c r="A6714" s="4" t="str">
        <f>CONCATENATE("3071-0000-3432","")</f>
        <v>3071-0000-3432</v>
      </c>
      <c r="B6714" s="4" t="s">
        <v>1704</v>
      </c>
      <c r="C6714" s="5">
        <v>41489</v>
      </c>
      <c r="D6714" s="5">
        <v>41549</v>
      </c>
      <c r="E6714" s="4" t="s">
        <v>1410</v>
      </c>
      <c r="F6714" s="4" t="s">
        <v>1411</v>
      </c>
    </row>
    <row r="6715" spans="1:6" x14ac:dyDescent="0.25">
      <c r="A6715" s="4" t="str">
        <f>CONCATENATE("3071-0000-6517","")</f>
        <v>3071-0000-6517</v>
      </c>
      <c r="B6715" s="4" t="s">
        <v>7936</v>
      </c>
      <c r="C6715" s="5">
        <v>41489</v>
      </c>
      <c r="D6715" s="5">
        <v>41549</v>
      </c>
      <c r="E6715" s="4" t="s">
        <v>5185</v>
      </c>
      <c r="F6715" s="4" t="s">
        <v>5185</v>
      </c>
    </row>
    <row r="6716" spans="1:6" x14ac:dyDescent="0.25">
      <c r="A6716" s="4" t="str">
        <f>CONCATENATE("3071-0000-6699","")</f>
        <v>3071-0000-6699</v>
      </c>
      <c r="B6716" s="4" t="s">
        <v>8049</v>
      </c>
      <c r="C6716" s="5">
        <v>41489</v>
      </c>
      <c r="D6716" s="5">
        <v>41549</v>
      </c>
      <c r="E6716" s="4" t="s">
        <v>5185</v>
      </c>
      <c r="F6716" s="4" t="s">
        <v>5185</v>
      </c>
    </row>
    <row r="6717" spans="1:6" x14ac:dyDescent="0.25">
      <c r="A6717" s="4" t="str">
        <f>CONCATENATE("3071-0000-6519","")</f>
        <v>3071-0000-6519</v>
      </c>
      <c r="B6717" s="4" t="s">
        <v>7938</v>
      </c>
      <c r="C6717" s="5">
        <v>41489</v>
      </c>
      <c r="D6717" s="5">
        <v>41549</v>
      </c>
      <c r="E6717" s="4" t="s">
        <v>5185</v>
      </c>
      <c r="F6717" s="4" t="s">
        <v>5185</v>
      </c>
    </row>
    <row r="6718" spans="1:6" x14ac:dyDescent="0.25">
      <c r="A6718" s="4" t="str">
        <f>CONCATENATE("3071-0000-3424","")</f>
        <v>3071-0000-3424</v>
      </c>
      <c r="B6718" s="4" t="s">
        <v>1690</v>
      </c>
      <c r="C6718" s="5">
        <v>41489</v>
      </c>
      <c r="D6718" s="5">
        <v>41549</v>
      </c>
      <c r="E6718" s="4" t="s">
        <v>1410</v>
      </c>
      <c r="F6718" s="4" t="s">
        <v>1411</v>
      </c>
    </row>
    <row r="6719" spans="1:6" x14ac:dyDescent="0.25">
      <c r="A6719" s="4" t="str">
        <f>CONCATENATE("3071-0000-6518","")</f>
        <v>3071-0000-6518</v>
      </c>
      <c r="B6719" s="4" t="s">
        <v>7937</v>
      </c>
      <c r="C6719" s="5">
        <v>41489</v>
      </c>
      <c r="D6719" s="5">
        <v>41549</v>
      </c>
      <c r="E6719" s="4" t="s">
        <v>5185</v>
      </c>
      <c r="F6719" s="4" t="s">
        <v>5185</v>
      </c>
    </row>
    <row r="6720" spans="1:6" x14ac:dyDescent="0.25">
      <c r="A6720" s="4" t="str">
        <f>CONCATENATE("3071-0000-3619","")</f>
        <v>3071-0000-3619</v>
      </c>
      <c r="B6720" s="4" t="s">
        <v>1631</v>
      </c>
      <c r="C6720" s="5">
        <v>41489</v>
      </c>
      <c r="D6720" s="5">
        <v>41549</v>
      </c>
      <c r="E6720" s="4" t="s">
        <v>1410</v>
      </c>
      <c r="F6720" s="4" t="s">
        <v>1410</v>
      </c>
    </row>
    <row r="6721" spans="1:6" x14ac:dyDescent="0.25">
      <c r="A6721" s="4" t="str">
        <f>CONCATENATE("3071-0000-3564","")</f>
        <v>3071-0000-3564</v>
      </c>
      <c r="B6721" s="4" t="s">
        <v>1696</v>
      </c>
      <c r="C6721" s="5">
        <v>41489</v>
      </c>
      <c r="D6721" s="5">
        <v>41549</v>
      </c>
      <c r="E6721" s="4" t="s">
        <v>1410</v>
      </c>
      <c r="F6721" s="4" t="s">
        <v>1411</v>
      </c>
    </row>
    <row r="6722" spans="1:6" x14ac:dyDescent="0.25">
      <c r="A6722" s="4" t="str">
        <f>CONCATENATE("3071-0000-4926","")</f>
        <v>3071-0000-4926</v>
      </c>
      <c r="B6722" s="4" t="s">
        <v>9144</v>
      </c>
      <c r="C6722" s="5">
        <v>41489</v>
      </c>
      <c r="D6722" s="5">
        <v>41549</v>
      </c>
      <c r="E6722" s="4" t="s">
        <v>1410</v>
      </c>
      <c r="F6722" s="4" t="s">
        <v>8696</v>
      </c>
    </row>
    <row r="6723" spans="1:6" x14ac:dyDescent="0.25">
      <c r="A6723" s="4" t="str">
        <f>CONCATENATE("3071-0000-6383","")</f>
        <v>3071-0000-6383</v>
      </c>
      <c r="B6723" s="4" t="s">
        <v>7919</v>
      </c>
      <c r="C6723" s="5">
        <v>41489</v>
      </c>
      <c r="D6723" s="5">
        <v>41549</v>
      </c>
      <c r="E6723" s="4" t="s">
        <v>5185</v>
      </c>
      <c r="F6723" s="4" t="s">
        <v>5185</v>
      </c>
    </row>
    <row r="6724" spans="1:6" x14ac:dyDescent="0.25">
      <c r="A6724" s="4" t="str">
        <f>CONCATENATE("3071-0000-4601","")</f>
        <v>3071-0000-4601</v>
      </c>
      <c r="B6724" s="4" t="s">
        <v>9127</v>
      </c>
      <c r="C6724" s="5">
        <v>41489</v>
      </c>
      <c r="D6724" s="5">
        <v>41549</v>
      </c>
      <c r="E6724" s="4" t="s">
        <v>1410</v>
      </c>
      <c r="F6724" s="4" t="s">
        <v>8696</v>
      </c>
    </row>
    <row r="6725" spans="1:6" x14ac:dyDescent="0.25">
      <c r="A6725" s="4" t="str">
        <f>CONCATENATE("3071-0000-4581","")</f>
        <v>3071-0000-4581</v>
      </c>
      <c r="B6725" s="4" t="s">
        <v>9603</v>
      </c>
      <c r="C6725" s="5">
        <v>41489</v>
      </c>
      <c r="D6725" s="5">
        <v>41549</v>
      </c>
      <c r="E6725" s="4" t="s">
        <v>1410</v>
      </c>
      <c r="F6725" s="4" t="s">
        <v>8696</v>
      </c>
    </row>
    <row r="6726" spans="1:6" x14ac:dyDescent="0.25">
      <c r="A6726" s="4" t="str">
        <f>CONCATENATE("3071-0000-0689","")</f>
        <v>3071-0000-0689</v>
      </c>
      <c r="B6726" s="4" t="s">
        <v>721</v>
      </c>
      <c r="C6726" s="5">
        <v>41489</v>
      </c>
      <c r="D6726" s="5">
        <v>41549</v>
      </c>
      <c r="E6726" s="4" t="s">
        <v>7</v>
      </c>
      <c r="F6726" s="4" t="s">
        <v>273</v>
      </c>
    </row>
    <row r="6727" spans="1:6" x14ac:dyDescent="0.25">
      <c r="A6727" s="4" t="str">
        <f>CONCATENATE("3071-0000-3301","")</f>
        <v>3071-0000-3301</v>
      </c>
      <c r="B6727" s="4" t="s">
        <v>1330</v>
      </c>
      <c r="C6727" s="5">
        <v>41489</v>
      </c>
      <c r="D6727" s="5">
        <v>41549</v>
      </c>
      <c r="E6727" s="4" t="s">
        <v>7</v>
      </c>
      <c r="F6727" s="4" t="s">
        <v>808</v>
      </c>
    </row>
    <row r="6728" spans="1:6" x14ac:dyDescent="0.25">
      <c r="A6728" s="4" t="str">
        <f>CONCATENATE("3071-0000-8707","")</f>
        <v>3071-0000-8707</v>
      </c>
      <c r="B6728" s="4" t="s">
        <v>6474</v>
      </c>
      <c r="C6728" s="5">
        <v>41489</v>
      </c>
      <c r="D6728" s="5">
        <v>41549</v>
      </c>
      <c r="E6728" s="4" t="s">
        <v>5185</v>
      </c>
      <c r="F6728" s="4" t="s">
        <v>5292</v>
      </c>
    </row>
    <row r="6729" spans="1:6" x14ac:dyDescent="0.25">
      <c r="A6729" s="4" t="str">
        <f>CONCATENATE("3071-0000-7828","")</f>
        <v>3071-0000-7828</v>
      </c>
      <c r="B6729" s="4" t="s">
        <v>5764</v>
      </c>
      <c r="C6729" s="5">
        <v>41489</v>
      </c>
      <c r="D6729" s="5">
        <v>41549</v>
      </c>
      <c r="E6729" s="4" t="s">
        <v>5185</v>
      </c>
      <c r="F6729" s="4" t="s">
        <v>5185</v>
      </c>
    </row>
    <row r="6730" spans="1:6" x14ac:dyDescent="0.25">
      <c r="A6730" s="4" t="str">
        <f>CONCATENATE("3071-0000-8582","")</f>
        <v>3071-0000-8582</v>
      </c>
      <c r="B6730" s="4" t="s">
        <v>5678</v>
      </c>
      <c r="C6730" s="5">
        <v>41489</v>
      </c>
      <c r="D6730" s="5">
        <v>41549</v>
      </c>
      <c r="E6730" s="4" t="s">
        <v>5185</v>
      </c>
      <c r="F6730" s="4" t="s">
        <v>5250</v>
      </c>
    </row>
    <row r="6731" spans="1:6" x14ac:dyDescent="0.25">
      <c r="A6731" s="4" t="str">
        <f>CONCATENATE("3071-0000-8792","")</f>
        <v>3071-0000-8792</v>
      </c>
      <c r="B6731" s="4" t="s">
        <v>6364</v>
      </c>
      <c r="C6731" s="5">
        <v>41489</v>
      </c>
      <c r="D6731" s="5">
        <v>41549</v>
      </c>
      <c r="E6731" s="4" t="s">
        <v>5185</v>
      </c>
      <c r="F6731" s="4" t="s">
        <v>5292</v>
      </c>
    </row>
    <row r="6732" spans="1:6" x14ac:dyDescent="0.25">
      <c r="A6732" s="4" t="str">
        <f>CONCATENATE("3071-0000-8258","")</f>
        <v>3071-0000-8258</v>
      </c>
      <c r="B6732" s="4" t="s">
        <v>5529</v>
      </c>
      <c r="C6732" s="5">
        <v>41489</v>
      </c>
      <c r="D6732" s="5">
        <v>41549</v>
      </c>
      <c r="E6732" s="4" t="s">
        <v>5185</v>
      </c>
      <c r="F6732" s="4" t="s">
        <v>5185</v>
      </c>
    </row>
    <row r="6733" spans="1:6" x14ac:dyDescent="0.25">
      <c r="A6733" s="4" t="str">
        <f>CONCATENATE("3071-0000-8170","")</f>
        <v>3071-0000-8170</v>
      </c>
      <c r="B6733" s="4" t="s">
        <v>5236</v>
      </c>
      <c r="C6733" s="5">
        <v>41489</v>
      </c>
      <c r="D6733" s="5">
        <v>41549</v>
      </c>
      <c r="E6733" s="4" t="s">
        <v>5185</v>
      </c>
      <c r="F6733" s="4" t="s">
        <v>5185</v>
      </c>
    </row>
    <row r="6734" spans="1:6" x14ac:dyDescent="0.25">
      <c r="A6734" s="4" t="str">
        <f>CONCATENATE("3071-0000-8418","")</f>
        <v>3071-0000-8418</v>
      </c>
      <c r="B6734" s="4" t="s">
        <v>6245</v>
      </c>
      <c r="C6734" s="5">
        <v>41489</v>
      </c>
      <c r="D6734" s="5">
        <v>41549</v>
      </c>
      <c r="E6734" s="4" t="s">
        <v>5185</v>
      </c>
      <c r="F6734" s="4" t="s">
        <v>5185</v>
      </c>
    </row>
    <row r="6735" spans="1:6" x14ac:dyDescent="0.25">
      <c r="A6735" s="4" t="str">
        <f>CONCATENATE("3071-0000-8705","")</f>
        <v>3071-0000-8705</v>
      </c>
      <c r="B6735" s="4" t="s">
        <v>6480</v>
      </c>
      <c r="C6735" s="5">
        <v>41489</v>
      </c>
      <c r="D6735" s="5">
        <v>41549</v>
      </c>
      <c r="E6735" s="4" t="s">
        <v>5185</v>
      </c>
      <c r="F6735" s="4" t="s">
        <v>5292</v>
      </c>
    </row>
    <row r="6736" spans="1:6" x14ac:dyDescent="0.25">
      <c r="A6736" s="4" t="str">
        <f>CONCATENATE("3071-0000-7893","")</f>
        <v>3071-0000-7893</v>
      </c>
      <c r="B6736" s="4" t="s">
        <v>5507</v>
      </c>
      <c r="C6736" s="5">
        <v>41489</v>
      </c>
      <c r="D6736" s="5">
        <v>41549</v>
      </c>
      <c r="E6736" s="4" t="s">
        <v>5185</v>
      </c>
      <c r="F6736" s="4" t="s">
        <v>5185</v>
      </c>
    </row>
    <row r="6737" spans="1:6" x14ac:dyDescent="0.25">
      <c r="A6737" s="4" t="str">
        <f>CONCATENATE("3071-0000-7908","")</f>
        <v>3071-0000-7908</v>
      </c>
      <c r="B6737" s="4" t="s">
        <v>5598</v>
      </c>
      <c r="C6737" s="5">
        <v>41489</v>
      </c>
      <c r="D6737" s="5">
        <v>41549</v>
      </c>
      <c r="E6737" s="4" t="s">
        <v>5185</v>
      </c>
      <c r="F6737" s="4" t="s">
        <v>5185</v>
      </c>
    </row>
    <row r="6738" spans="1:6" x14ac:dyDescent="0.25">
      <c r="A6738" s="4" t="str">
        <f>CONCATENATE("3071-0000-8048","")</f>
        <v>3071-0000-8048</v>
      </c>
      <c r="B6738" s="4" t="s">
        <v>5688</v>
      </c>
      <c r="C6738" s="5">
        <v>41489</v>
      </c>
      <c r="D6738" s="5">
        <v>41549</v>
      </c>
      <c r="E6738" s="4" t="s">
        <v>5185</v>
      </c>
      <c r="F6738" s="4" t="s">
        <v>5185</v>
      </c>
    </row>
    <row r="6739" spans="1:6" x14ac:dyDescent="0.25">
      <c r="A6739" s="4" t="str">
        <f>CONCATENATE("3071-0000-7913","")</f>
        <v>3071-0000-7913</v>
      </c>
      <c r="B6739" s="4" t="s">
        <v>9702</v>
      </c>
      <c r="C6739" s="5">
        <v>41489</v>
      </c>
      <c r="D6739" s="5">
        <v>41549</v>
      </c>
      <c r="E6739" s="4" t="s">
        <v>5185</v>
      </c>
      <c r="F6739" s="4" t="s">
        <v>5185</v>
      </c>
    </row>
    <row r="6740" spans="1:6" x14ac:dyDescent="0.25">
      <c r="A6740" s="4" t="str">
        <f>CONCATENATE("3071-0000-8237","")</f>
        <v>3071-0000-8237</v>
      </c>
      <c r="B6740" s="4" t="s">
        <v>5738</v>
      </c>
      <c r="C6740" s="5">
        <v>41489</v>
      </c>
      <c r="D6740" s="5">
        <v>41549</v>
      </c>
      <c r="E6740" s="4" t="s">
        <v>5185</v>
      </c>
      <c r="F6740" s="4" t="s">
        <v>5185</v>
      </c>
    </row>
    <row r="6741" spans="1:6" x14ac:dyDescent="0.25">
      <c r="A6741" s="4" t="str">
        <f>CONCATENATE("3071-0000-8857","")</f>
        <v>3071-0000-8857</v>
      </c>
      <c r="B6741" s="4" t="s">
        <v>6473</v>
      </c>
      <c r="C6741" s="5">
        <v>41489</v>
      </c>
      <c r="D6741" s="5">
        <v>41549</v>
      </c>
      <c r="E6741" s="4" t="s">
        <v>5185</v>
      </c>
      <c r="F6741" s="4" t="s">
        <v>5292</v>
      </c>
    </row>
    <row r="6742" spans="1:6" x14ac:dyDescent="0.25">
      <c r="A6742" s="4" t="str">
        <f>CONCATENATE("3071-0000-8563","")</f>
        <v>3071-0000-8563</v>
      </c>
      <c r="B6742" s="4" t="s">
        <v>5741</v>
      </c>
      <c r="C6742" s="5">
        <v>41489</v>
      </c>
      <c r="D6742" s="5">
        <v>41549</v>
      </c>
      <c r="E6742" s="4" t="s">
        <v>5185</v>
      </c>
      <c r="F6742" s="4" t="s">
        <v>5250</v>
      </c>
    </row>
    <row r="6743" spans="1:6" x14ac:dyDescent="0.25">
      <c r="A6743" s="4" t="str">
        <f>CONCATENATE("3071-0000-8525","")</f>
        <v>3071-0000-8525</v>
      </c>
      <c r="B6743" s="4" t="s">
        <v>5293</v>
      </c>
      <c r="C6743" s="5">
        <v>41489</v>
      </c>
      <c r="D6743" s="5">
        <v>41549</v>
      </c>
      <c r="E6743" s="4" t="s">
        <v>5185</v>
      </c>
      <c r="F6743" s="4" t="s">
        <v>5292</v>
      </c>
    </row>
    <row r="6744" spans="1:6" x14ac:dyDescent="0.25">
      <c r="A6744" s="4" t="str">
        <f>CONCATENATE("3071-0000-7958","")</f>
        <v>3071-0000-7958</v>
      </c>
      <c r="B6744" s="4" t="s">
        <v>5596</v>
      </c>
      <c r="C6744" s="5">
        <v>41489</v>
      </c>
      <c r="D6744" s="5">
        <v>41549</v>
      </c>
      <c r="E6744" s="4" t="s">
        <v>5185</v>
      </c>
      <c r="F6744" s="4" t="s">
        <v>5185</v>
      </c>
    </row>
    <row r="6745" spans="1:6" x14ac:dyDescent="0.25">
      <c r="A6745" s="4" t="str">
        <f>CONCATENATE("3071-0000-7920","")</f>
        <v>3071-0000-7920</v>
      </c>
      <c r="B6745" s="4" t="s">
        <v>5617</v>
      </c>
      <c r="C6745" s="5">
        <v>41489</v>
      </c>
      <c r="D6745" s="5">
        <v>41549</v>
      </c>
      <c r="E6745" s="4" t="s">
        <v>5185</v>
      </c>
      <c r="F6745" s="4" t="s">
        <v>5185</v>
      </c>
    </row>
    <row r="6746" spans="1:6" x14ac:dyDescent="0.25">
      <c r="A6746" s="4" t="str">
        <f>CONCATENATE("3071-0000-7883","")</f>
        <v>3071-0000-7883</v>
      </c>
      <c r="B6746" s="4" t="s">
        <v>5197</v>
      </c>
      <c r="C6746" s="5">
        <v>41489</v>
      </c>
      <c r="D6746" s="5">
        <v>41549</v>
      </c>
      <c r="E6746" s="4" t="s">
        <v>5185</v>
      </c>
      <c r="F6746" s="4" t="s">
        <v>5185</v>
      </c>
    </row>
    <row r="6747" spans="1:6" x14ac:dyDescent="0.25">
      <c r="A6747" s="4" t="str">
        <f>CONCATENATE("3071-0000-8682","")</f>
        <v>3071-0000-8682</v>
      </c>
      <c r="B6747" s="4" t="s">
        <v>6405</v>
      </c>
      <c r="C6747" s="5">
        <v>41489</v>
      </c>
      <c r="D6747" s="5">
        <v>41549</v>
      </c>
      <c r="E6747" s="4" t="s">
        <v>5185</v>
      </c>
      <c r="F6747" s="4" t="s">
        <v>5945</v>
      </c>
    </row>
    <row r="6748" spans="1:6" x14ac:dyDescent="0.25">
      <c r="A6748" s="4" t="str">
        <f>CONCATENATE("3071-0000-7943","")</f>
        <v>3071-0000-7943</v>
      </c>
      <c r="B6748" s="4" t="s">
        <v>5577</v>
      </c>
      <c r="C6748" s="5">
        <v>41489</v>
      </c>
      <c r="D6748" s="5">
        <v>41549</v>
      </c>
      <c r="E6748" s="4" t="s">
        <v>5185</v>
      </c>
      <c r="F6748" s="4" t="s">
        <v>5185</v>
      </c>
    </row>
    <row r="6749" spans="1:6" x14ac:dyDescent="0.25">
      <c r="A6749" s="4" t="str">
        <f>CONCATENATE("3071-0000-8650","")</f>
        <v>3071-0000-8650</v>
      </c>
      <c r="B6749" s="4" t="s">
        <v>6430</v>
      </c>
      <c r="C6749" s="5">
        <v>41489</v>
      </c>
      <c r="D6749" s="5">
        <v>41549</v>
      </c>
      <c r="E6749" s="4" t="s">
        <v>5185</v>
      </c>
      <c r="F6749" s="4" t="s">
        <v>5292</v>
      </c>
    </row>
    <row r="6750" spans="1:6" x14ac:dyDescent="0.25">
      <c r="A6750" s="4" t="str">
        <f>CONCATENATE("3071-0000-9083","")</f>
        <v>3071-0000-9083</v>
      </c>
      <c r="B6750" s="4" t="s">
        <v>5256</v>
      </c>
      <c r="C6750" s="5">
        <v>41489</v>
      </c>
      <c r="D6750" s="5">
        <v>41549</v>
      </c>
      <c r="E6750" s="4" t="s">
        <v>5185</v>
      </c>
      <c r="F6750" s="4" t="s">
        <v>5185</v>
      </c>
    </row>
    <row r="6751" spans="1:6" x14ac:dyDescent="0.25">
      <c r="A6751" s="4" t="str">
        <f>CONCATENATE("3071-0000-8850","")</f>
        <v>3071-0000-8850</v>
      </c>
      <c r="B6751" s="4" t="s">
        <v>5578</v>
      </c>
      <c r="C6751" s="5">
        <v>41489</v>
      </c>
      <c r="D6751" s="5">
        <v>41549</v>
      </c>
      <c r="E6751" s="4" t="s">
        <v>5185</v>
      </c>
      <c r="F6751" s="4" t="s">
        <v>5250</v>
      </c>
    </row>
    <row r="6752" spans="1:6" x14ac:dyDescent="0.25">
      <c r="A6752" s="4" t="str">
        <f>CONCATENATE("3071-0000-8948","")</f>
        <v>3071-0000-8948</v>
      </c>
      <c r="B6752" s="4" t="s">
        <v>6271</v>
      </c>
      <c r="C6752" s="5">
        <v>41489</v>
      </c>
      <c r="D6752" s="5">
        <v>41549</v>
      </c>
      <c r="E6752" s="4" t="s">
        <v>5185</v>
      </c>
      <c r="F6752" s="4" t="s">
        <v>6181</v>
      </c>
    </row>
    <row r="6753" spans="1:6" x14ac:dyDescent="0.25">
      <c r="A6753" s="4" t="str">
        <f>CONCATENATE("3071-0000-7873","")</f>
        <v>3071-0000-7873</v>
      </c>
      <c r="B6753" s="4" t="s">
        <v>5216</v>
      </c>
      <c r="C6753" s="5">
        <v>41489</v>
      </c>
      <c r="D6753" s="5">
        <v>41549</v>
      </c>
      <c r="E6753" s="4" t="s">
        <v>5185</v>
      </c>
      <c r="F6753" s="4" t="s">
        <v>5185</v>
      </c>
    </row>
    <row r="6754" spans="1:6" x14ac:dyDescent="0.25">
      <c r="A6754" s="4" t="str">
        <f>CONCATENATE("3071-0000-8414","")</f>
        <v>3071-0000-8414</v>
      </c>
      <c r="B6754" s="4" t="s">
        <v>5606</v>
      </c>
      <c r="C6754" s="5">
        <v>41489</v>
      </c>
      <c r="D6754" s="5">
        <v>41549</v>
      </c>
      <c r="E6754" s="4" t="s">
        <v>5185</v>
      </c>
      <c r="F6754" s="4" t="s">
        <v>5250</v>
      </c>
    </row>
    <row r="6755" spans="1:6" x14ac:dyDescent="0.25">
      <c r="A6755" s="4" t="str">
        <f>CONCATENATE("3071-0000-7786","")</f>
        <v>3071-0000-7786</v>
      </c>
      <c r="B6755" s="4" t="s">
        <v>5633</v>
      </c>
      <c r="C6755" s="5">
        <v>41489</v>
      </c>
      <c r="D6755" s="5">
        <v>41549</v>
      </c>
      <c r="E6755" s="4" t="s">
        <v>5185</v>
      </c>
      <c r="F6755" s="4" t="s">
        <v>5250</v>
      </c>
    </row>
    <row r="6756" spans="1:6" x14ac:dyDescent="0.25">
      <c r="A6756" s="4" t="str">
        <f>CONCATENATE("3071-0000-8176","")</f>
        <v>3071-0000-8176</v>
      </c>
      <c r="B6756" s="4" t="s">
        <v>5631</v>
      </c>
      <c r="C6756" s="5">
        <v>41489</v>
      </c>
      <c r="D6756" s="5">
        <v>41549</v>
      </c>
      <c r="E6756" s="4" t="s">
        <v>5185</v>
      </c>
      <c r="F6756" s="4" t="s">
        <v>5185</v>
      </c>
    </row>
    <row r="6757" spans="1:6" x14ac:dyDescent="0.25">
      <c r="A6757" s="4" t="str">
        <f>CONCATENATE("3071-0000-8210","")</f>
        <v>3071-0000-8210</v>
      </c>
      <c r="B6757" s="4" t="s">
        <v>5517</v>
      </c>
      <c r="C6757" s="5">
        <v>41489</v>
      </c>
      <c r="D6757" s="5">
        <v>41549</v>
      </c>
      <c r="E6757" s="4" t="s">
        <v>5185</v>
      </c>
      <c r="F6757" s="4" t="s">
        <v>5185</v>
      </c>
    </row>
    <row r="6758" spans="1:6" x14ac:dyDescent="0.25">
      <c r="A6758" s="4" t="str">
        <f>CONCATENATE("3071-0000-8023","")</f>
        <v>3071-0000-8023</v>
      </c>
      <c r="B6758" s="4" t="s">
        <v>5698</v>
      </c>
      <c r="C6758" s="5">
        <v>41489</v>
      </c>
      <c r="D6758" s="5">
        <v>41549</v>
      </c>
      <c r="E6758" s="4" t="s">
        <v>5185</v>
      </c>
      <c r="F6758" s="4" t="s">
        <v>5185</v>
      </c>
    </row>
    <row r="6759" spans="1:6" x14ac:dyDescent="0.25">
      <c r="A6759" s="4" t="str">
        <f>CONCATENATE("3071-0000-8524","")</f>
        <v>3071-0000-8524</v>
      </c>
      <c r="B6759" s="4" t="s">
        <v>5295</v>
      </c>
      <c r="C6759" s="5">
        <v>41489</v>
      </c>
      <c r="D6759" s="5">
        <v>41549</v>
      </c>
      <c r="E6759" s="4" t="s">
        <v>5185</v>
      </c>
      <c r="F6759" s="4" t="s">
        <v>5292</v>
      </c>
    </row>
    <row r="6760" spans="1:6" x14ac:dyDescent="0.25">
      <c r="A6760" s="4" t="str">
        <f>CONCATENATE("3071-0000-8565","")</f>
        <v>3071-0000-8565</v>
      </c>
      <c r="B6760" s="4" t="s">
        <v>5752</v>
      </c>
      <c r="C6760" s="5">
        <v>41489</v>
      </c>
      <c r="D6760" s="5">
        <v>41549</v>
      </c>
      <c r="E6760" s="4" t="s">
        <v>5185</v>
      </c>
      <c r="F6760" s="4" t="s">
        <v>5250</v>
      </c>
    </row>
    <row r="6761" spans="1:6" x14ac:dyDescent="0.25">
      <c r="A6761" s="4" t="str">
        <f>CONCATENATE("3071-0000-7918","")</f>
        <v>3071-0000-7918</v>
      </c>
      <c r="B6761" s="4" t="s">
        <v>5613</v>
      </c>
      <c r="C6761" s="5">
        <v>41489</v>
      </c>
      <c r="D6761" s="5">
        <v>41549</v>
      </c>
      <c r="E6761" s="4" t="s">
        <v>5185</v>
      </c>
      <c r="F6761" s="4" t="s">
        <v>5185</v>
      </c>
    </row>
    <row r="6762" spans="1:6" x14ac:dyDescent="0.25">
      <c r="A6762" s="4" t="str">
        <f>CONCATENATE("3071-0000-8852","")</f>
        <v>3071-0000-8852</v>
      </c>
      <c r="B6762" s="4" t="s">
        <v>5651</v>
      </c>
      <c r="C6762" s="5">
        <v>41489</v>
      </c>
      <c r="D6762" s="5">
        <v>41549</v>
      </c>
      <c r="E6762" s="4" t="s">
        <v>5185</v>
      </c>
      <c r="F6762" s="4" t="s">
        <v>5250</v>
      </c>
    </row>
    <row r="6763" spans="1:6" x14ac:dyDescent="0.25">
      <c r="A6763" s="4" t="str">
        <f>CONCATENATE("3071-0000-8051","")</f>
        <v>3071-0000-8051</v>
      </c>
      <c r="B6763" s="4" t="s">
        <v>5627</v>
      </c>
      <c r="C6763" s="5">
        <v>41489</v>
      </c>
      <c r="D6763" s="5">
        <v>41549</v>
      </c>
      <c r="E6763" s="4" t="s">
        <v>5185</v>
      </c>
      <c r="F6763" s="4" t="s">
        <v>5250</v>
      </c>
    </row>
    <row r="6764" spans="1:6" x14ac:dyDescent="0.25">
      <c r="A6764" s="4" t="str">
        <f>CONCATENATE("3071-0000-8218","")</f>
        <v>3071-0000-8218</v>
      </c>
      <c r="B6764" s="4" t="s">
        <v>5467</v>
      </c>
      <c r="C6764" s="5">
        <v>41489</v>
      </c>
      <c r="D6764" s="5">
        <v>41549</v>
      </c>
      <c r="E6764" s="4" t="s">
        <v>5185</v>
      </c>
      <c r="F6764" s="4" t="s">
        <v>5185</v>
      </c>
    </row>
    <row r="6765" spans="1:6" x14ac:dyDescent="0.25">
      <c r="A6765" s="4" t="str">
        <f>CONCATENATE("3071-0000-8009","")</f>
        <v>3071-0000-8009</v>
      </c>
      <c r="B6765" s="4" t="s">
        <v>5664</v>
      </c>
      <c r="C6765" s="5">
        <v>41489</v>
      </c>
      <c r="D6765" s="5">
        <v>41549</v>
      </c>
      <c r="E6765" s="4" t="s">
        <v>5185</v>
      </c>
      <c r="F6765" s="4" t="s">
        <v>5185</v>
      </c>
    </row>
    <row r="6766" spans="1:6" x14ac:dyDescent="0.25">
      <c r="A6766" s="4" t="str">
        <f>CONCATENATE("3071-0000-9172","")</f>
        <v>3071-0000-9172</v>
      </c>
      <c r="B6766" s="4" t="s">
        <v>5530</v>
      </c>
      <c r="C6766" s="5">
        <v>41489</v>
      </c>
      <c r="D6766" s="5">
        <v>41549</v>
      </c>
      <c r="E6766" s="4" t="s">
        <v>5185</v>
      </c>
      <c r="F6766" s="4" t="s">
        <v>5250</v>
      </c>
    </row>
    <row r="6767" spans="1:6" x14ac:dyDescent="0.25">
      <c r="A6767" s="4" t="str">
        <f>CONCATENATE("3071-0000-8021","")</f>
        <v>3071-0000-8021</v>
      </c>
      <c r="B6767" s="4" t="s">
        <v>5700</v>
      </c>
      <c r="C6767" s="5">
        <v>41489</v>
      </c>
      <c r="D6767" s="5">
        <v>41549</v>
      </c>
      <c r="E6767" s="4" t="s">
        <v>5185</v>
      </c>
      <c r="F6767" s="4" t="s">
        <v>5185</v>
      </c>
    </row>
    <row r="6768" spans="1:6" x14ac:dyDescent="0.25">
      <c r="A6768" s="4" t="str">
        <f>CONCATENATE("3071-0000-9088","")</f>
        <v>3071-0000-9088</v>
      </c>
      <c r="B6768" s="4" t="s">
        <v>5296</v>
      </c>
      <c r="C6768" s="5">
        <v>41489</v>
      </c>
      <c r="D6768" s="5">
        <v>41549</v>
      </c>
      <c r="E6768" s="4" t="s">
        <v>5185</v>
      </c>
      <c r="F6768" s="4" t="s">
        <v>5185</v>
      </c>
    </row>
    <row r="6769" spans="1:6" x14ac:dyDescent="0.25">
      <c r="A6769" s="4" t="str">
        <f>CONCATENATE("3071-0000-5353","")</f>
        <v>3071-0000-5353</v>
      </c>
      <c r="B6769" s="4" t="s">
        <v>6855</v>
      </c>
      <c r="C6769" s="5">
        <v>41489</v>
      </c>
      <c r="D6769" s="5">
        <v>41549</v>
      </c>
      <c r="E6769" s="4" t="s">
        <v>5185</v>
      </c>
      <c r="F6769" s="4" t="s">
        <v>5185</v>
      </c>
    </row>
    <row r="6770" spans="1:6" x14ac:dyDescent="0.25">
      <c r="A6770" s="4" t="str">
        <f>CONCATENATE("3071-0000-7787","")</f>
        <v>3071-0000-7787</v>
      </c>
      <c r="B6770" s="4" t="s">
        <v>5186</v>
      </c>
      <c r="C6770" s="5">
        <v>41489</v>
      </c>
      <c r="D6770" s="5">
        <v>41549</v>
      </c>
      <c r="E6770" s="4" t="s">
        <v>5185</v>
      </c>
      <c r="F6770" s="4" t="s">
        <v>5185</v>
      </c>
    </row>
    <row r="6771" spans="1:6" x14ac:dyDescent="0.25">
      <c r="A6771" s="4" t="str">
        <f>CONCATENATE("3071-0000-0300","")</f>
        <v>3071-0000-0300</v>
      </c>
      <c r="B6771" s="4" t="s">
        <v>532</v>
      </c>
      <c r="C6771" s="5">
        <v>41489</v>
      </c>
      <c r="D6771" s="5">
        <v>41549</v>
      </c>
      <c r="E6771" s="4" t="s">
        <v>7</v>
      </c>
      <c r="F6771" s="4" t="s">
        <v>7</v>
      </c>
    </row>
    <row r="6772" spans="1:6" x14ac:dyDescent="0.25">
      <c r="A6772" s="4" t="str">
        <f>CONCATENATE("3071-0000-4406","")</f>
        <v>3071-0000-4406</v>
      </c>
      <c r="B6772" s="4" t="s">
        <v>9265</v>
      </c>
      <c r="C6772" s="5">
        <v>41489</v>
      </c>
      <c r="D6772" s="5">
        <v>41549</v>
      </c>
      <c r="E6772" s="4" t="s">
        <v>1410</v>
      </c>
      <c r="F6772" s="4" t="s">
        <v>8696</v>
      </c>
    </row>
    <row r="6773" spans="1:6" x14ac:dyDescent="0.25">
      <c r="A6773" s="4" t="str">
        <f>CONCATENATE("3071-0000-4442","")</f>
        <v>3071-0000-4442</v>
      </c>
      <c r="B6773" s="4" t="s">
        <v>9317</v>
      </c>
      <c r="C6773" s="5">
        <v>41489</v>
      </c>
      <c r="D6773" s="5">
        <v>41549</v>
      </c>
      <c r="E6773" s="4" t="s">
        <v>1410</v>
      </c>
      <c r="F6773" s="4" t="s">
        <v>8696</v>
      </c>
    </row>
    <row r="6774" spans="1:6" x14ac:dyDescent="0.25">
      <c r="A6774" s="4" t="str">
        <f>CONCATENATE("3071-0000-4803","")</f>
        <v>3071-0000-4803</v>
      </c>
      <c r="B6774" s="4" t="s">
        <v>9337</v>
      </c>
      <c r="C6774" s="5">
        <v>41489</v>
      </c>
      <c r="D6774" s="5">
        <v>41549</v>
      </c>
      <c r="E6774" s="4" t="s">
        <v>1410</v>
      </c>
      <c r="F6774" s="4" t="s">
        <v>8696</v>
      </c>
    </row>
    <row r="6775" spans="1:6" x14ac:dyDescent="0.25">
      <c r="A6775" s="4" t="str">
        <f>CONCATENATE("3071-0000-4418","")</f>
        <v>3071-0000-4418</v>
      </c>
      <c r="B6775" s="4" t="s">
        <v>9281</v>
      </c>
      <c r="C6775" s="5">
        <v>41489</v>
      </c>
      <c r="D6775" s="5">
        <v>41549</v>
      </c>
      <c r="E6775" s="4" t="s">
        <v>1410</v>
      </c>
      <c r="F6775" s="4" t="s">
        <v>8696</v>
      </c>
    </row>
    <row r="6776" spans="1:6" x14ac:dyDescent="0.25">
      <c r="A6776" s="4" t="str">
        <f>CONCATENATE("3071-0000-4448","")</f>
        <v>3071-0000-4448</v>
      </c>
      <c r="B6776" s="4" t="s">
        <v>9327</v>
      </c>
      <c r="C6776" s="5">
        <v>41489</v>
      </c>
      <c r="D6776" s="5">
        <v>41549</v>
      </c>
      <c r="E6776" s="4" t="s">
        <v>1410</v>
      </c>
      <c r="F6776" s="4" t="s">
        <v>8696</v>
      </c>
    </row>
    <row r="6777" spans="1:6" x14ac:dyDescent="0.25">
      <c r="A6777" s="4" t="str">
        <f>CONCATENATE("3071-0000-4226","")</f>
        <v>3071-0000-4226</v>
      </c>
      <c r="B6777" s="4" t="s">
        <v>9380</v>
      </c>
      <c r="C6777" s="5">
        <v>41489</v>
      </c>
      <c r="D6777" s="5">
        <v>41549</v>
      </c>
      <c r="E6777" s="4" t="s">
        <v>7069</v>
      </c>
      <c r="F6777" s="4" t="s">
        <v>9210</v>
      </c>
    </row>
    <row r="6778" spans="1:6" x14ac:dyDescent="0.25">
      <c r="A6778" s="4" t="str">
        <f>CONCATENATE("3071-0000-4401","")</f>
        <v>3071-0000-4401</v>
      </c>
      <c r="B6778" s="4" t="s">
        <v>9256</v>
      </c>
      <c r="C6778" s="5">
        <v>41489</v>
      </c>
      <c r="D6778" s="5">
        <v>41549</v>
      </c>
      <c r="E6778" s="4" t="s">
        <v>7069</v>
      </c>
      <c r="F6778" s="4" t="s">
        <v>9210</v>
      </c>
    </row>
    <row r="6779" spans="1:6" x14ac:dyDescent="0.25">
      <c r="A6779" s="4" t="str">
        <f>CONCATENATE("3071-0000-4476","")</f>
        <v>3071-0000-4476</v>
      </c>
      <c r="B6779" s="4" t="s">
        <v>9366</v>
      </c>
      <c r="C6779" s="5">
        <v>41489</v>
      </c>
      <c r="D6779" s="5">
        <v>41549</v>
      </c>
      <c r="E6779" s="4" t="s">
        <v>1410</v>
      </c>
      <c r="F6779" s="4" t="s">
        <v>8696</v>
      </c>
    </row>
    <row r="6780" spans="1:6" x14ac:dyDescent="0.25">
      <c r="A6780" s="4" t="str">
        <f>CONCATENATE("3071-0000-5022","")</f>
        <v>3071-0000-5022</v>
      </c>
      <c r="B6780" s="4" t="s">
        <v>9285</v>
      </c>
      <c r="C6780" s="5">
        <v>41489</v>
      </c>
      <c r="D6780" s="5">
        <v>41549</v>
      </c>
      <c r="E6780" s="4" t="s">
        <v>7069</v>
      </c>
      <c r="F6780" s="4" t="s">
        <v>9210</v>
      </c>
    </row>
    <row r="6781" spans="1:6" x14ac:dyDescent="0.25">
      <c r="A6781" s="4" t="str">
        <f>CONCATENATE("3071-0000-4447","")</f>
        <v>3071-0000-4447</v>
      </c>
      <c r="B6781" s="4" t="s">
        <v>9326</v>
      </c>
      <c r="C6781" s="5">
        <v>41489</v>
      </c>
      <c r="D6781" s="5">
        <v>41549</v>
      </c>
      <c r="E6781" s="4" t="s">
        <v>1410</v>
      </c>
      <c r="F6781" s="4" t="s">
        <v>8696</v>
      </c>
    </row>
    <row r="6782" spans="1:6" x14ac:dyDescent="0.25">
      <c r="A6782" s="4" t="str">
        <f>CONCATENATE("3071-0000-2294","")</f>
        <v>3071-0000-2294</v>
      </c>
      <c r="B6782" s="4" t="s">
        <v>3743</v>
      </c>
      <c r="C6782" s="5">
        <v>41489</v>
      </c>
      <c r="D6782" s="5">
        <v>41549</v>
      </c>
      <c r="E6782" s="4" t="s">
        <v>2944</v>
      </c>
      <c r="F6782" s="4" t="s">
        <v>2945</v>
      </c>
    </row>
    <row r="6783" spans="1:6" x14ac:dyDescent="0.25">
      <c r="A6783" s="4" t="str">
        <f>CONCATENATE("3071-0000-1309","")</f>
        <v>3071-0000-1309</v>
      </c>
      <c r="B6783" s="4" t="s">
        <v>2426</v>
      </c>
      <c r="C6783" s="5">
        <v>41489</v>
      </c>
      <c r="D6783" s="5">
        <v>41549</v>
      </c>
      <c r="E6783" s="4" t="s">
        <v>1381</v>
      </c>
      <c r="F6783" s="4" t="s">
        <v>2303</v>
      </c>
    </row>
    <row r="6784" spans="1:6" x14ac:dyDescent="0.25">
      <c r="A6784" s="4" t="str">
        <f>CONCATENATE("3071-0000-1563","")</f>
        <v>3071-0000-1563</v>
      </c>
      <c r="B6784" s="4" t="s">
        <v>2427</v>
      </c>
      <c r="C6784" s="5">
        <v>41489</v>
      </c>
      <c r="D6784" s="5">
        <v>41549</v>
      </c>
      <c r="E6784" s="4" t="s">
        <v>1381</v>
      </c>
      <c r="F6784" s="4" t="s">
        <v>2303</v>
      </c>
    </row>
    <row r="6785" spans="1:6" x14ac:dyDescent="0.25">
      <c r="A6785" s="4" t="str">
        <f>CONCATENATE("3071-0000-1286","")</f>
        <v>3071-0000-1286</v>
      </c>
      <c r="B6785" s="4" t="s">
        <v>2395</v>
      </c>
      <c r="C6785" s="5">
        <v>41489</v>
      </c>
      <c r="D6785" s="5">
        <v>41549</v>
      </c>
      <c r="E6785" s="4" t="s">
        <v>1381</v>
      </c>
      <c r="F6785" s="4" t="s">
        <v>2303</v>
      </c>
    </row>
    <row r="6786" spans="1:6" x14ac:dyDescent="0.25">
      <c r="A6786" s="4" t="str">
        <f>CONCATENATE("3071-0000-1343","")</f>
        <v>3071-0000-1343</v>
      </c>
      <c r="B6786" s="4" t="s">
        <v>2479</v>
      </c>
      <c r="C6786" s="5">
        <v>41489</v>
      </c>
      <c r="D6786" s="5">
        <v>41549</v>
      </c>
      <c r="E6786" s="4" t="s">
        <v>1381</v>
      </c>
      <c r="F6786" s="4" t="s">
        <v>2303</v>
      </c>
    </row>
    <row r="6787" spans="1:6" x14ac:dyDescent="0.25">
      <c r="A6787" s="4" t="str">
        <f>CONCATENATE("3071-0000-2487","")</f>
        <v>3071-0000-2487</v>
      </c>
      <c r="B6787" s="4" t="s">
        <v>3599</v>
      </c>
      <c r="C6787" s="5">
        <v>41489</v>
      </c>
      <c r="D6787" s="5">
        <v>41549</v>
      </c>
      <c r="E6787" s="4" t="s">
        <v>2944</v>
      </c>
      <c r="F6787" s="4" t="s">
        <v>3593</v>
      </c>
    </row>
    <row r="6788" spans="1:6" x14ac:dyDescent="0.25">
      <c r="A6788" s="4" t="str">
        <f>CONCATENATE("3071-0000-2394","")</f>
        <v>3071-0000-2394</v>
      </c>
      <c r="B6788" s="4" t="s">
        <v>3225</v>
      </c>
      <c r="C6788" s="5">
        <v>41489</v>
      </c>
      <c r="D6788" s="5">
        <v>41549</v>
      </c>
      <c r="E6788" s="4" t="s">
        <v>2944</v>
      </c>
      <c r="F6788" s="4" t="s">
        <v>3164</v>
      </c>
    </row>
    <row r="6789" spans="1:6" x14ac:dyDescent="0.25">
      <c r="A6789" s="4" t="str">
        <f>CONCATENATE("3071-0000-2709","")</f>
        <v>3071-0000-2709</v>
      </c>
      <c r="B6789" s="4" t="s">
        <v>3585</v>
      </c>
      <c r="C6789" s="5">
        <v>41489</v>
      </c>
      <c r="D6789" s="5">
        <v>41549</v>
      </c>
      <c r="E6789" s="4" t="s">
        <v>2944</v>
      </c>
      <c r="F6789" s="4" t="s">
        <v>3567</v>
      </c>
    </row>
    <row r="6790" spans="1:6" x14ac:dyDescent="0.25">
      <c r="A6790" s="4" t="str">
        <f>CONCATENATE("3071-0000-2139","")</f>
        <v>3071-0000-2139</v>
      </c>
      <c r="B6790" s="4" t="s">
        <v>3576</v>
      </c>
      <c r="C6790" s="5">
        <v>41489</v>
      </c>
      <c r="D6790" s="5">
        <v>41549</v>
      </c>
      <c r="E6790" s="4" t="s">
        <v>2944</v>
      </c>
      <c r="F6790" s="4" t="s">
        <v>2945</v>
      </c>
    </row>
    <row r="6791" spans="1:6" x14ac:dyDescent="0.25">
      <c r="A6791" s="4" t="str">
        <f>CONCATENATE("3071-0000-2339","")</f>
        <v>3071-0000-2339</v>
      </c>
      <c r="B6791" s="4" t="s">
        <v>3226</v>
      </c>
      <c r="C6791" s="5">
        <v>41489</v>
      </c>
      <c r="D6791" s="5">
        <v>41549</v>
      </c>
      <c r="E6791" s="4" t="s">
        <v>2944</v>
      </c>
      <c r="F6791" s="4" t="s">
        <v>2945</v>
      </c>
    </row>
    <row r="6792" spans="1:6" x14ac:dyDescent="0.25">
      <c r="A6792" s="4" t="str">
        <f>CONCATENATE("3071-0000-2246","")</f>
        <v>3071-0000-2246</v>
      </c>
      <c r="B6792" s="4" t="s">
        <v>3019</v>
      </c>
      <c r="C6792" s="5">
        <v>41489</v>
      </c>
      <c r="D6792" s="5">
        <v>41549</v>
      </c>
      <c r="E6792" s="4" t="s">
        <v>2944</v>
      </c>
      <c r="F6792" s="4" t="s">
        <v>2945</v>
      </c>
    </row>
    <row r="6793" spans="1:6" x14ac:dyDescent="0.25">
      <c r="A6793" s="4" t="str">
        <f>CONCATENATE("3071-0000-2491","")</f>
        <v>3071-0000-2491</v>
      </c>
      <c r="B6793" s="4" t="s">
        <v>3636</v>
      </c>
      <c r="C6793" s="5">
        <v>41489</v>
      </c>
      <c r="D6793" s="5">
        <v>41549</v>
      </c>
      <c r="E6793" s="4" t="s">
        <v>2944</v>
      </c>
      <c r="F6793" s="4" t="s">
        <v>3567</v>
      </c>
    </row>
    <row r="6794" spans="1:6" x14ac:dyDescent="0.25">
      <c r="A6794" s="4" t="str">
        <f>CONCATENATE("3071-0000-0789","")</f>
        <v>3071-0000-0789</v>
      </c>
      <c r="B6794" s="4" t="s">
        <v>85</v>
      </c>
      <c r="C6794" s="5">
        <v>41489</v>
      </c>
      <c r="D6794" s="5">
        <v>41549</v>
      </c>
      <c r="E6794" s="4" t="s">
        <v>7</v>
      </c>
      <c r="F6794" s="4" t="s">
        <v>7</v>
      </c>
    </row>
    <row r="6795" spans="1:6" x14ac:dyDescent="0.25">
      <c r="A6795" s="4" t="str">
        <f>CONCATENATE("3071-0000-8994","")</f>
        <v>3071-0000-8994</v>
      </c>
      <c r="B6795" s="4" t="s">
        <v>6152</v>
      </c>
      <c r="C6795" s="5">
        <v>41489</v>
      </c>
      <c r="D6795" s="5">
        <v>41549</v>
      </c>
      <c r="E6795" s="4" t="s">
        <v>5185</v>
      </c>
      <c r="F6795" s="4" t="s">
        <v>5945</v>
      </c>
    </row>
    <row r="6796" spans="1:6" x14ac:dyDescent="0.25">
      <c r="A6796" s="4" t="str">
        <f>CONCATENATE("3071-0000-4683","")</f>
        <v>3071-0000-4683</v>
      </c>
      <c r="B6796" s="4" t="s">
        <v>9196</v>
      </c>
      <c r="C6796" s="5">
        <v>41489</v>
      </c>
      <c r="D6796" s="5">
        <v>41549</v>
      </c>
      <c r="E6796" s="4" t="s">
        <v>1410</v>
      </c>
      <c r="F6796" s="4" t="s">
        <v>8696</v>
      </c>
    </row>
    <row r="6797" spans="1:6" x14ac:dyDescent="0.25">
      <c r="A6797" s="4" t="str">
        <f>CONCATENATE("3071-0000-5079","")</f>
        <v>3071-0000-5079</v>
      </c>
      <c r="B6797" s="4" t="s">
        <v>9173</v>
      </c>
      <c r="C6797" s="5">
        <v>41489</v>
      </c>
      <c r="D6797" s="5">
        <v>41549</v>
      </c>
      <c r="E6797" s="4" t="s">
        <v>7069</v>
      </c>
      <c r="F6797" s="4" t="s">
        <v>7070</v>
      </c>
    </row>
    <row r="6798" spans="1:6" x14ac:dyDescent="0.25">
      <c r="A6798" s="4" t="str">
        <f>CONCATENATE("3071-0000-3211","")</f>
        <v>3071-0000-3211</v>
      </c>
      <c r="B6798" s="4" t="s">
        <v>1248</v>
      </c>
      <c r="C6798" s="5">
        <v>41489</v>
      </c>
      <c r="D6798" s="5">
        <v>41549</v>
      </c>
      <c r="E6798" s="4" t="s">
        <v>7</v>
      </c>
      <c r="F6798" s="4" t="s">
        <v>808</v>
      </c>
    </row>
    <row r="6799" spans="1:6" x14ac:dyDescent="0.25">
      <c r="A6799" s="4" t="str">
        <f>CONCATENATE("3071-0000-2237","")</f>
        <v>3071-0000-2237</v>
      </c>
      <c r="B6799" s="4" t="s">
        <v>3722</v>
      </c>
      <c r="C6799" s="5">
        <v>41489</v>
      </c>
      <c r="D6799" s="5">
        <v>41549</v>
      </c>
      <c r="E6799" s="4" t="s">
        <v>2944</v>
      </c>
      <c r="F6799" s="4" t="s">
        <v>2945</v>
      </c>
    </row>
    <row r="6800" spans="1:6" x14ac:dyDescent="0.25">
      <c r="A6800" s="4" t="str">
        <f>CONCATENATE("3071-0000-5078","")</f>
        <v>3071-0000-5078</v>
      </c>
      <c r="B6800" s="4" t="s">
        <v>9176</v>
      </c>
      <c r="C6800" s="5">
        <v>41489</v>
      </c>
      <c r="D6800" s="5">
        <v>41549</v>
      </c>
      <c r="E6800" s="4" t="s">
        <v>7069</v>
      </c>
      <c r="F6800" s="4" t="s">
        <v>7070</v>
      </c>
    </row>
    <row r="6801" spans="1:6" x14ac:dyDescent="0.25">
      <c r="A6801" s="4" t="str">
        <f>CONCATENATE("3071-0000-4663","")</f>
        <v>3071-0000-4663</v>
      </c>
      <c r="B6801" s="4" t="s">
        <v>9171</v>
      </c>
      <c r="C6801" s="5">
        <v>41489</v>
      </c>
      <c r="D6801" s="5">
        <v>41549</v>
      </c>
      <c r="E6801" s="4" t="s">
        <v>1410</v>
      </c>
      <c r="F6801" s="4" t="s">
        <v>8696</v>
      </c>
    </row>
    <row r="6802" spans="1:6" x14ac:dyDescent="0.25">
      <c r="A6802" s="4" t="str">
        <f>CONCATENATE("3071-0000-4666","")</f>
        <v>3071-0000-4666</v>
      </c>
      <c r="B6802" s="4" t="s">
        <v>9175</v>
      </c>
      <c r="C6802" s="5">
        <v>41489</v>
      </c>
      <c r="D6802" s="5">
        <v>41549</v>
      </c>
      <c r="E6802" s="4" t="s">
        <v>1410</v>
      </c>
      <c r="F6802" s="4" t="s">
        <v>8696</v>
      </c>
    </row>
    <row r="6803" spans="1:6" x14ac:dyDescent="0.25">
      <c r="A6803" s="4" t="str">
        <f>CONCATENATE("3071-0000-0485","")</f>
        <v>3071-0000-0485</v>
      </c>
      <c r="B6803" s="4" t="s">
        <v>260</v>
      </c>
      <c r="C6803" s="5">
        <v>41489</v>
      </c>
      <c r="D6803" s="5">
        <v>41549</v>
      </c>
      <c r="E6803" s="4" t="s">
        <v>7</v>
      </c>
      <c r="F6803" s="4" t="s">
        <v>7</v>
      </c>
    </row>
    <row r="6804" spans="1:6" x14ac:dyDescent="0.25">
      <c r="A6804" s="4" t="str">
        <f>CONCATENATE("3071-0000-8720","")</f>
        <v>3071-0000-8720</v>
      </c>
      <c r="B6804" s="4" t="s">
        <v>6356</v>
      </c>
      <c r="C6804" s="5">
        <v>41489</v>
      </c>
      <c r="D6804" s="5">
        <v>41549</v>
      </c>
      <c r="E6804" s="4" t="s">
        <v>5185</v>
      </c>
      <c r="F6804" s="4" t="s">
        <v>5292</v>
      </c>
    </row>
    <row r="6805" spans="1:6" x14ac:dyDescent="0.25">
      <c r="A6805" s="4" t="str">
        <f>CONCATENATE("3071-0000-8684","")</f>
        <v>3071-0000-8684</v>
      </c>
      <c r="B6805" s="4" t="s">
        <v>6378</v>
      </c>
      <c r="C6805" s="5">
        <v>41489</v>
      </c>
      <c r="D6805" s="5">
        <v>41549</v>
      </c>
      <c r="E6805" s="4" t="s">
        <v>5185</v>
      </c>
      <c r="F6805" s="4" t="s">
        <v>5945</v>
      </c>
    </row>
    <row r="6806" spans="1:6" x14ac:dyDescent="0.25">
      <c r="A6806" s="4" t="str">
        <f>CONCATENATE("3071-0000-8655","")</f>
        <v>3071-0000-8655</v>
      </c>
      <c r="B6806" s="4" t="s">
        <v>6416</v>
      </c>
      <c r="C6806" s="5">
        <v>41489</v>
      </c>
      <c r="D6806" s="5">
        <v>41549</v>
      </c>
      <c r="E6806" s="4" t="s">
        <v>5185</v>
      </c>
      <c r="F6806" s="4" t="s">
        <v>5292</v>
      </c>
    </row>
    <row r="6807" spans="1:6" x14ac:dyDescent="0.25">
      <c r="A6807" s="4" t="str">
        <f>CONCATENATE("3071-0000-8763","")</f>
        <v>3071-0000-8763</v>
      </c>
      <c r="B6807" s="4" t="s">
        <v>6439</v>
      </c>
      <c r="C6807" s="5">
        <v>41489</v>
      </c>
      <c r="D6807" s="5">
        <v>41549</v>
      </c>
      <c r="E6807" s="4" t="s">
        <v>5185</v>
      </c>
      <c r="F6807" s="4" t="s">
        <v>5292</v>
      </c>
    </row>
    <row r="6808" spans="1:6" x14ac:dyDescent="0.25">
      <c r="A6808" s="4" t="str">
        <f>CONCATENATE("3071-0000-3288","")</f>
        <v>3071-0000-3288</v>
      </c>
      <c r="B6808" s="4" t="s">
        <v>1164</v>
      </c>
      <c r="C6808" s="5">
        <v>41489</v>
      </c>
      <c r="D6808" s="5">
        <v>41549</v>
      </c>
      <c r="E6808" s="4" t="s">
        <v>7</v>
      </c>
      <c r="F6808" s="4" t="s">
        <v>808</v>
      </c>
    </row>
    <row r="6809" spans="1:6" x14ac:dyDescent="0.25">
      <c r="A6809" s="4" t="str">
        <f>CONCATENATE("3071-0000-9116","")</f>
        <v>3071-0000-9116</v>
      </c>
      <c r="B6809" s="4" t="s">
        <v>5309</v>
      </c>
      <c r="C6809" s="5">
        <v>41489</v>
      </c>
      <c r="D6809" s="5">
        <v>41549</v>
      </c>
      <c r="E6809" s="4" t="s">
        <v>5185</v>
      </c>
      <c r="F6809" s="4" t="s">
        <v>5185</v>
      </c>
    </row>
    <row r="6810" spans="1:6" x14ac:dyDescent="0.25">
      <c r="A6810" s="4" t="str">
        <f>CONCATENATE("3071-0000-1313","")</f>
        <v>3071-0000-1313</v>
      </c>
      <c r="B6810" s="4" t="s">
        <v>2434</v>
      </c>
      <c r="C6810" s="5">
        <v>41489</v>
      </c>
      <c r="D6810" s="5">
        <v>41549</v>
      </c>
      <c r="E6810" s="4" t="s">
        <v>1381</v>
      </c>
      <c r="F6810" s="4" t="s">
        <v>2303</v>
      </c>
    </row>
    <row r="6811" spans="1:6" x14ac:dyDescent="0.25">
      <c r="A6811" s="4" t="str">
        <f>CONCATENATE("3071-0000-8271","")</f>
        <v>3071-0000-8271</v>
      </c>
      <c r="B6811" s="4" t="s">
        <v>6209</v>
      </c>
      <c r="C6811" s="5">
        <v>41489</v>
      </c>
      <c r="D6811" s="5">
        <v>41549</v>
      </c>
      <c r="E6811" s="4" t="s">
        <v>5185</v>
      </c>
      <c r="F6811" s="4" t="s">
        <v>5185</v>
      </c>
    </row>
    <row r="6812" spans="1:6" x14ac:dyDescent="0.25">
      <c r="A6812" s="4" t="str">
        <f>CONCATENATE("3071-0000-9175","")</f>
        <v>3071-0000-9175</v>
      </c>
      <c r="B6812" s="4" t="s">
        <v>6226</v>
      </c>
      <c r="C6812" s="5">
        <v>41489</v>
      </c>
      <c r="D6812" s="5">
        <v>41549</v>
      </c>
      <c r="E6812" s="4" t="s">
        <v>5185</v>
      </c>
      <c r="F6812" s="4" t="s">
        <v>5185</v>
      </c>
    </row>
    <row r="6813" spans="1:6" x14ac:dyDescent="0.25">
      <c r="A6813" s="4" t="str">
        <f>CONCATENATE("3071-0000-7905","")</f>
        <v>3071-0000-7905</v>
      </c>
      <c r="B6813" s="4" t="s">
        <v>5470</v>
      </c>
      <c r="C6813" s="5">
        <v>41489</v>
      </c>
      <c r="D6813" s="5">
        <v>41549</v>
      </c>
      <c r="E6813" s="4" t="s">
        <v>5185</v>
      </c>
      <c r="F6813" s="4" t="s">
        <v>5185</v>
      </c>
    </row>
    <row r="6814" spans="1:6" x14ac:dyDescent="0.25">
      <c r="A6814" s="4" t="str">
        <f>CONCATENATE("3071-0000-8287","")</f>
        <v>3071-0000-8287</v>
      </c>
      <c r="B6814" s="4" t="s">
        <v>6225</v>
      </c>
      <c r="C6814" s="5">
        <v>41489</v>
      </c>
      <c r="D6814" s="5">
        <v>41549</v>
      </c>
      <c r="E6814" s="4" t="s">
        <v>5185</v>
      </c>
      <c r="F6814" s="4" t="s">
        <v>5185</v>
      </c>
    </row>
    <row r="6815" spans="1:6" x14ac:dyDescent="0.25">
      <c r="A6815" s="4" t="str">
        <f>CONCATENATE("3071-0000-8528","")</f>
        <v>3071-0000-8528</v>
      </c>
      <c r="B6815" s="4" t="s">
        <v>5501</v>
      </c>
      <c r="C6815" s="5">
        <v>41489</v>
      </c>
      <c r="D6815" s="5">
        <v>41549</v>
      </c>
      <c r="E6815" s="4" t="s">
        <v>5185</v>
      </c>
      <c r="F6815" s="4" t="s">
        <v>5250</v>
      </c>
    </row>
    <row r="6816" spans="1:6" x14ac:dyDescent="0.25">
      <c r="A6816" s="4" t="str">
        <f>CONCATENATE("3071-0000-8585","")</f>
        <v>3071-0000-8585</v>
      </c>
      <c r="B6816" s="4" t="s">
        <v>5869</v>
      </c>
      <c r="C6816" s="5">
        <v>41489</v>
      </c>
      <c r="D6816" s="5">
        <v>41549</v>
      </c>
      <c r="E6816" s="4" t="s">
        <v>5185</v>
      </c>
      <c r="F6816" s="4" t="s">
        <v>4188</v>
      </c>
    </row>
    <row r="6817" spans="1:6" x14ac:dyDescent="0.25">
      <c r="A6817" s="4" t="str">
        <f>CONCATENATE("3071-0000-7266","")</f>
        <v>3071-0000-7266</v>
      </c>
      <c r="B6817" s="4" t="s">
        <v>5044</v>
      </c>
      <c r="C6817" s="5">
        <v>41489</v>
      </c>
      <c r="D6817" s="5">
        <v>41549</v>
      </c>
      <c r="E6817" s="4" t="s">
        <v>1410</v>
      </c>
      <c r="F6817" s="4" t="s">
        <v>1410</v>
      </c>
    </row>
    <row r="6818" spans="1:6" x14ac:dyDescent="0.25">
      <c r="A6818" s="4" t="str">
        <f>CONCATENATE("3071-0000-0963","")</f>
        <v>3071-0000-0963</v>
      </c>
      <c r="B6818" s="4" t="s">
        <v>2135</v>
      </c>
      <c r="C6818" s="5">
        <v>41489</v>
      </c>
      <c r="D6818" s="5">
        <v>41549</v>
      </c>
      <c r="E6818" s="4" t="s">
        <v>1857</v>
      </c>
      <c r="F6818" s="4" t="s">
        <v>1857</v>
      </c>
    </row>
    <row r="6819" spans="1:6" x14ac:dyDescent="0.25">
      <c r="A6819" s="4" t="str">
        <f>CONCATENATE("3071-0000-5749","")</f>
        <v>3071-0000-5749</v>
      </c>
      <c r="B6819" s="4" t="s">
        <v>7532</v>
      </c>
      <c r="C6819" s="5">
        <v>41489</v>
      </c>
      <c r="D6819" s="5">
        <v>41549</v>
      </c>
      <c r="E6819" s="4" t="s">
        <v>5185</v>
      </c>
      <c r="F6819" s="4" t="s">
        <v>5185</v>
      </c>
    </row>
    <row r="6820" spans="1:6" x14ac:dyDescent="0.25">
      <c r="A6820" s="4" t="str">
        <f>CONCATENATE("3071-0000-5925","")</f>
        <v>3071-0000-5925</v>
      </c>
      <c r="B6820" s="4" t="s">
        <v>7469</v>
      </c>
      <c r="C6820" s="5">
        <v>41489</v>
      </c>
      <c r="D6820" s="5">
        <v>41549</v>
      </c>
      <c r="E6820" s="4" t="s">
        <v>5185</v>
      </c>
      <c r="F6820" s="4" t="s">
        <v>5185</v>
      </c>
    </row>
    <row r="6821" spans="1:6" x14ac:dyDescent="0.25">
      <c r="A6821" s="4" t="str">
        <f>CONCATENATE("3071-0000-1063","")</f>
        <v>3071-0000-1063</v>
      </c>
      <c r="B6821" s="4" t="s">
        <v>1955</v>
      </c>
      <c r="C6821" s="5">
        <v>41489</v>
      </c>
      <c r="D6821" s="5">
        <v>41549</v>
      </c>
      <c r="E6821" s="4" t="s">
        <v>1857</v>
      </c>
      <c r="F6821" s="4" t="s">
        <v>1857</v>
      </c>
    </row>
    <row r="6822" spans="1:6" x14ac:dyDescent="0.25">
      <c r="A6822" s="4" t="str">
        <f>CONCATENATE("3071-0000-1866","")</f>
        <v>3071-0000-1866</v>
      </c>
      <c r="B6822" s="4" t="s">
        <v>2696</v>
      </c>
      <c r="C6822" s="5">
        <v>41489</v>
      </c>
      <c r="D6822" s="5">
        <v>41549</v>
      </c>
      <c r="E6822" s="4" t="s">
        <v>1381</v>
      </c>
      <c r="F6822" s="4" t="s">
        <v>2662</v>
      </c>
    </row>
    <row r="6823" spans="1:6" x14ac:dyDescent="0.25">
      <c r="A6823" s="4" t="str">
        <f>CONCATENATE("3071-0000-5926","")</f>
        <v>3071-0000-5926</v>
      </c>
      <c r="B6823" s="4" t="s">
        <v>7470</v>
      </c>
      <c r="C6823" s="5">
        <v>41489</v>
      </c>
      <c r="D6823" s="5">
        <v>41549</v>
      </c>
      <c r="E6823" s="4" t="s">
        <v>5185</v>
      </c>
      <c r="F6823" s="4" t="s">
        <v>5185</v>
      </c>
    </row>
    <row r="6824" spans="1:6" x14ac:dyDescent="0.25">
      <c r="A6824" s="4" t="str">
        <f>CONCATENATE("3071-0000-6120","")</f>
        <v>3071-0000-6120</v>
      </c>
      <c r="B6824" s="4" t="s">
        <v>7664</v>
      </c>
      <c r="C6824" s="5">
        <v>41489</v>
      </c>
      <c r="D6824" s="5">
        <v>41549</v>
      </c>
      <c r="E6824" s="4" t="s">
        <v>1410</v>
      </c>
      <c r="F6824" s="4" t="s">
        <v>1410</v>
      </c>
    </row>
    <row r="6825" spans="1:6" x14ac:dyDescent="0.25">
      <c r="A6825" s="4" t="str">
        <f>CONCATENATE("3071-0000-6201","")</f>
        <v>3071-0000-6201</v>
      </c>
      <c r="B6825" s="4" t="s">
        <v>7553</v>
      </c>
      <c r="C6825" s="5">
        <v>41489</v>
      </c>
      <c r="D6825" s="5">
        <v>41549</v>
      </c>
      <c r="E6825" s="4" t="s">
        <v>1410</v>
      </c>
      <c r="F6825" s="4" t="s">
        <v>1410</v>
      </c>
    </row>
    <row r="6826" spans="1:6" x14ac:dyDescent="0.25">
      <c r="A6826" s="4" t="str">
        <f>CONCATENATE("3071-0000-5745","")</f>
        <v>3071-0000-5745</v>
      </c>
      <c r="B6826" s="4" t="s">
        <v>7534</v>
      </c>
      <c r="C6826" s="5">
        <v>41489</v>
      </c>
      <c r="D6826" s="5">
        <v>41549</v>
      </c>
      <c r="E6826" s="4" t="s">
        <v>5185</v>
      </c>
      <c r="F6826" s="4" t="s">
        <v>5185</v>
      </c>
    </row>
    <row r="6827" spans="1:6" x14ac:dyDescent="0.25">
      <c r="A6827" s="4" t="str">
        <f>CONCATENATE("3071-0000-5923","")</f>
        <v>3071-0000-5923</v>
      </c>
      <c r="B6827" s="4" t="s">
        <v>7467</v>
      </c>
      <c r="C6827" s="5">
        <v>41489</v>
      </c>
      <c r="D6827" s="5">
        <v>41549</v>
      </c>
      <c r="E6827" s="4" t="s">
        <v>5185</v>
      </c>
      <c r="F6827" s="4" t="s">
        <v>5185</v>
      </c>
    </row>
    <row r="6828" spans="1:6" x14ac:dyDescent="0.25">
      <c r="A6828" s="4" t="str">
        <f>CONCATENATE("3071-0000-5812","")</f>
        <v>3071-0000-5812</v>
      </c>
      <c r="B6828" s="4" t="s">
        <v>7513</v>
      </c>
      <c r="C6828" s="5">
        <v>41489</v>
      </c>
      <c r="D6828" s="5">
        <v>41549</v>
      </c>
      <c r="E6828" s="4" t="s">
        <v>5185</v>
      </c>
      <c r="F6828" s="4" t="s">
        <v>5185</v>
      </c>
    </row>
    <row r="6829" spans="1:6" x14ac:dyDescent="0.25">
      <c r="A6829" s="4" t="str">
        <f>CONCATENATE("3071-0000-6873","")</f>
        <v>3071-0000-6873</v>
      </c>
      <c r="B6829" s="4" t="s">
        <v>5062</v>
      </c>
      <c r="C6829" s="5">
        <v>41489</v>
      </c>
      <c r="D6829" s="5">
        <v>41549</v>
      </c>
      <c r="E6829" s="4" t="s">
        <v>1410</v>
      </c>
      <c r="F6829" s="4" t="s">
        <v>4616</v>
      </c>
    </row>
    <row r="6830" spans="1:6" x14ac:dyDescent="0.25">
      <c r="A6830" s="4" t="str">
        <f>CONCATENATE("3071-0000-6000","")</f>
        <v>3071-0000-6000</v>
      </c>
      <c r="B6830" s="4" t="s">
        <v>7115</v>
      </c>
      <c r="C6830" s="5">
        <v>41489</v>
      </c>
      <c r="D6830" s="5">
        <v>41549</v>
      </c>
      <c r="E6830" s="4" t="s">
        <v>5185</v>
      </c>
      <c r="F6830" s="4" t="s">
        <v>5185</v>
      </c>
    </row>
    <row r="6831" spans="1:6" x14ac:dyDescent="0.25">
      <c r="A6831" s="4" t="str">
        <f>CONCATENATE("3071-0000-9256","")</f>
        <v>3071-0000-9256</v>
      </c>
      <c r="B6831" s="4" t="s">
        <v>8620</v>
      </c>
      <c r="C6831" s="5">
        <v>41489</v>
      </c>
      <c r="D6831" s="5">
        <v>41549</v>
      </c>
      <c r="E6831" s="4" t="s">
        <v>5185</v>
      </c>
      <c r="F6831" s="4" t="s">
        <v>5185</v>
      </c>
    </row>
    <row r="6832" spans="1:6" x14ac:dyDescent="0.25">
      <c r="A6832" s="4" t="str">
        <f>CONCATENATE("3071-0000-9469","")</f>
        <v>3071-0000-9469</v>
      </c>
      <c r="B6832" s="4" t="s">
        <v>8525</v>
      </c>
      <c r="C6832" s="5">
        <v>41489</v>
      </c>
      <c r="D6832" s="5">
        <v>41549</v>
      </c>
      <c r="E6832" s="4" t="s">
        <v>1410</v>
      </c>
      <c r="F6832" s="4" t="s">
        <v>4459</v>
      </c>
    </row>
    <row r="6833" spans="1:6" x14ac:dyDescent="0.25">
      <c r="A6833" s="4" t="str">
        <f>CONCATENATE("3071-0000-4451","")</f>
        <v>3071-0000-4451</v>
      </c>
      <c r="B6833" s="4" t="s">
        <v>9331</v>
      </c>
      <c r="C6833" s="5">
        <v>41489</v>
      </c>
      <c r="D6833" s="5">
        <v>41549</v>
      </c>
      <c r="E6833" s="4" t="s">
        <v>1410</v>
      </c>
      <c r="F6833" s="4" t="s">
        <v>8696</v>
      </c>
    </row>
    <row r="6834" spans="1:6" x14ac:dyDescent="0.25">
      <c r="A6834" s="4" t="str">
        <f>CONCATENATE("3071-0000-9351","")</f>
        <v>3071-0000-9351</v>
      </c>
      <c r="B6834" s="4" t="s">
        <v>8456</v>
      </c>
      <c r="C6834" s="5">
        <v>41489</v>
      </c>
      <c r="D6834" s="5">
        <v>41549</v>
      </c>
      <c r="E6834" s="4" t="s">
        <v>1410</v>
      </c>
      <c r="F6834" s="4" t="s">
        <v>4459</v>
      </c>
    </row>
    <row r="6835" spans="1:6" x14ac:dyDescent="0.25">
      <c r="A6835" s="4" t="str">
        <f>CONCATENATE("3071-0000-4778","")</f>
        <v>3071-0000-4778</v>
      </c>
      <c r="B6835" s="4" t="s">
        <v>9024</v>
      </c>
      <c r="C6835" s="5">
        <v>41489</v>
      </c>
      <c r="D6835" s="5">
        <v>41549</v>
      </c>
      <c r="E6835" s="4" t="s">
        <v>1410</v>
      </c>
      <c r="F6835" s="4" t="s">
        <v>8696</v>
      </c>
    </row>
    <row r="6836" spans="1:6" x14ac:dyDescent="0.25">
      <c r="A6836" s="4" t="str">
        <f>CONCATENATE("3071-0000-9375","")</f>
        <v>3071-0000-9375</v>
      </c>
      <c r="B6836" s="4" t="s">
        <v>8452</v>
      </c>
      <c r="C6836" s="5">
        <v>41489</v>
      </c>
      <c r="D6836" s="5">
        <v>41549</v>
      </c>
      <c r="E6836" s="4" t="s">
        <v>1410</v>
      </c>
      <c r="F6836" s="4" t="s">
        <v>4459</v>
      </c>
    </row>
    <row r="6837" spans="1:6" x14ac:dyDescent="0.25">
      <c r="A6837" s="4" t="str">
        <f>CONCATENATE("3071-0000-4512","")</f>
        <v>3071-0000-4512</v>
      </c>
      <c r="B6837" s="4" t="s">
        <v>9516</v>
      </c>
      <c r="C6837" s="5">
        <v>41489</v>
      </c>
      <c r="D6837" s="5">
        <v>41549</v>
      </c>
      <c r="E6837" s="4" t="s">
        <v>1410</v>
      </c>
      <c r="F6837" s="4" t="s">
        <v>8696</v>
      </c>
    </row>
    <row r="6838" spans="1:6" x14ac:dyDescent="0.25">
      <c r="A6838" s="4" t="str">
        <f>CONCATENATE("3071-0000-4503","")</f>
        <v>3071-0000-4503</v>
      </c>
      <c r="B6838" s="4" t="s">
        <v>9503</v>
      </c>
      <c r="C6838" s="5">
        <v>41489</v>
      </c>
      <c r="D6838" s="5">
        <v>41549</v>
      </c>
      <c r="E6838" s="4" t="s">
        <v>1410</v>
      </c>
      <c r="F6838" s="4" t="s">
        <v>8696</v>
      </c>
    </row>
    <row r="6839" spans="1:6" x14ac:dyDescent="0.25">
      <c r="A6839" s="4" t="str">
        <f>CONCATENATE("3071-0000-4936","")</f>
        <v>3071-0000-4936</v>
      </c>
      <c r="B6839" s="4" t="s">
        <v>9566</v>
      </c>
      <c r="C6839" s="5">
        <v>41489</v>
      </c>
      <c r="D6839" s="5">
        <v>41549</v>
      </c>
      <c r="E6839" s="4" t="s">
        <v>7069</v>
      </c>
      <c r="F6839" s="4" t="s">
        <v>9210</v>
      </c>
    </row>
    <row r="6840" spans="1:6" x14ac:dyDescent="0.25">
      <c r="A6840" s="4" t="str">
        <f>CONCATENATE("3071-0000-5182","")</f>
        <v>3071-0000-5182</v>
      </c>
      <c r="B6840" s="4" t="s">
        <v>9512</v>
      </c>
      <c r="C6840" s="5">
        <v>41489</v>
      </c>
      <c r="D6840" s="5">
        <v>41549</v>
      </c>
      <c r="E6840" s="4" t="s">
        <v>7069</v>
      </c>
      <c r="F6840" s="4" t="s">
        <v>9485</v>
      </c>
    </row>
    <row r="6841" spans="1:6" x14ac:dyDescent="0.25">
      <c r="A6841" s="4" t="str">
        <f>CONCATENATE("3071-0000-4892","")</f>
        <v>3071-0000-4892</v>
      </c>
      <c r="B6841" s="4" t="s">
        <v>9514</v>
      </c>
      <c r="C6841" s="5">
        <v>41489</v>
      </c>
      <c r="D6841" s="5">
        <v>41549</v>
      </c>
      <c r="E6841" s="4" t="s">
        <v>7069</v>
      </c>
      <c r="F6841" s="4" t="s">
        <v>9485</v>
      </c>
    </row>
    <row r="6842" spans="1:6" x14ac:dyDescent="0.25">
      <c r="A6842" s="4" t="str">
        <f>CONCATENATE("3071-0000-4903","")</f>
        <v>3071-0000-4903</v>
      </c>
      <c r="B6842" s="4" t="s">
        <v>9563</v>
      </c>
      <c r="C6842" s="5">
        <v>41489</v>
      </c>
      <c r="D6842" s="5">
        <v>41549</v>
      </c>
      <c r="E6842" s="4" t="s">
        <v>7069</v>
      </c>
      <c r="F6842" s="4" t="s">
        <v>9485</v>
      </c>
    </row>
    <row r="6843" spans="1:6" x14ac:dyDescent="0.25">
      <c r="A6843" s="4" t="str">
        <f>CONCATENATE("3071-0000-5039","")</f>
        <v>3071-0000-5039</v>
      </c>
      <c r="B6843" s="4" t="s">
        <v>9533</v>
      </c>
      <c r="C6843" s="5">
        <v>41489</v>
      </c>
      <c r="D6843" s="5">
        <v>41549</v>
      </c>
      <c r="E6843" s="4" t="s">
        <v>7069</v>
      </c>
      <c r="F6843" s="4" t="s">
        <v>9485</v>
      </c>
    </row>
    <row r="6844" spans="1:6" x14ac:dyDescent="0.25">
      <c r="A6844" s="4" t="str">
        <f>CONCATENATE("3071-0000-4498","")</f>
        <v>3071-0000-4498</v>
      </c>
      <c r="B6844" s="4" t="s">
        <v>9495</v>
      </c>
      <c r="C6844" s="5">
        <v>41489</v>
      </c>
      <c r="D6844" s="5">
        <v>41549</v>
      </c>
      <c r="E6844" s="4" t="s">
        <v>1410</v>
      </c>
      <c r="F6844" s="4" t="s">
        <v>8696</v>
      </c>
    </row>
    <row r="6845" spans="1:6" x14ac:dyDescent="0.25">
      <c r="A6845" s="4" t="str">
        <f>CONCATENATE("3071-0000-4523","")</f>
        <v>3071-0000-4523</v>
      </c>
      <c r="B6845" s="4" t="s">
        <v>9535</v>
      </c>
      <c r="C6845" s="5">
        <v>41489</v>
      </c>
      <c r="D6845" s="5">
        <v>41549</v>
      </c>
      <c r="E6845" s="4" t="s">
        <v>1410</v>
      </c>
      <c r="F6845" s="4" t="s">
        <v>8696</v>
      </c>
    </row>
    <row r="6846" spans="1:6" x14ac:dyDescent="0.25">
      <c r="A6846" s="4" t="str">
        <f>CONCATENATE("3071-0000-4898","")</f>
        <v>3071-0000-4898</v>
      </c>
      <c r="B6846" s="4" t="s">
        <v>9557</v>
      </c>
      <c r="C6846" s="5">
        <v>41489</v>
      </c>
      <c r="D6846" s="5">
        <v>41549</v>
      </c>
      <c r="E6846" s="4" t="s">
        <v>7069</v>
      </c>
      <c r="F6846" s="4" t="s">
        <v>9485</v>
      </c>
    </row>
    <row r="6847" spans="1:6" x14ac:dyDescent="0.25">
      <c r="A6847" s="4" t="str">
        <f>CONCATENATE("3071-0000-4511","")</f>
        <v>3071-0000-4511</v>
      </c>
      <c r="B6847" s="4" t="s">
        <v>9515</v>
      </c>
      <c r="C6847" s="5">
        <v>41489</v>
      </c>
      <c r="D6847" s="5">
        <v>41549</v>
      </c>
      <c r="E6847" s="4" t="s">
        <v>1410</v>
      </c>
      <c r="F6847" s="4" t="s">
        <v>8696</v>
      </c>
    </row>
    <row r="6848" spans="1:6" x14ac:dyDescent="0.25">
      <c r="A6848" s="4" t="str">
        <f>CONCATENATE("3071-0000-4797","")</f>
        <v>3071-0000-4797</v>
      </c>
      <c r="B6848" s="4" t="s">
        <v>9497</v>
      </c>
      <c r="C6848" s="5">
        <v>41489</v>
      </c>
      <c r="D6848" s="5">
        <v>41549</v>
      </c>
      <c r="E6848" s="4" t="s">
        <v>1410</v>
      </c>
      <c r="F6848" s="4" t="s">
        <v>8696</v>
      </c>
    </row>
    <row r="6849" spans="1:6" x14ac:dyDescent="0.25">
      <c r="A6849" s="4" t="str">
        <f>CONCATENATE("3071-0000-4508","")</f>
        <v>3071-0000-4508</v>
      </c>
      <c r="B6849" s="4" t="s">
        <v>9509</v>
      </c>
      <c r="C6849" s="5">
        <v>41489</v>
      </c>
      <c r="D6849" s="5">
        <v>41549</v>
      </c>
      <c r="E6849" s="4" t="s">
        <v>1410</v>
      </c>
      <c r="F6849" s="4" t="s">
        <v>8696</v>
      </c>
    </row>
    <row r="6850" spans="1:6" x14ac:dyDescent="0.25">
      <c r="A6850" s="4" t="str">
        <f>CONCATENATE("3071-0000-6183","")</f>
        <v>3071-0000-6183</v>
      </c>
      <c r="B6850" s="4" t="s">
        <v>7740</v>
      </c>
      <c r="C6850" s="5">
        <v>41489</v>
      </c>
      <c r="D6850" s="5">
        <v>41549</v>
      </c>
      <c r="E6850" s="4" t="s">
        <v>1410</v>
      </c>
      <c r="F6850" s="4" t="s">
        <v>1410</v>
      </c>
    </row>
    <row r="6851" spans="1:6" x14ac:dyDescent="0.25">
      <c r="A6851" s="4" t="str">
        <f>CONCATENATE("3071-0000-1045","")</f>
        <v>3071-0000-1045</v>
      </c>
      <c r="B6851" s="4" t="s">
        <v>1935</v>
      </c>
      <c r="C6851" s="5">
        <v>41489</v>
      </c>
      <c r="D6851" s="5">
        <v>41549</v>
      </c>
      <c r="E6851" s="4" t="s">
        <v>1857</v>
      </c>
      <c r="F6851" s="4" t="s">
        <v>1857</v>
      </c>
    </row>
    <row r="6852" spans="1:6" x14ac:dyDescent="0.25">
      <c r="A6852" s="4" t="str">
        <f>CONCATENATE("3071-0000-1474","")</f>
        <v>3071-0000-1474</v>
      </c>
      <c r="B6852" s="4" t="s">
        <v>2922</v>
      </c>
      <c r="C6852" s="5">
        <v>41489</v>
      </c>
      <c r="D6852" s="5">
        <v>41549</v>
      </c>
      <c r="E6852" s="4" t="s">
        <v>1381</v>
      </c>
      <c r="F6852" s="4" t="s">
        <v>2303</v>
      </c>
    </row>
    <row r="6853" spans="1:6" x14ac:dyDescent="0.25">
      <c r="A6853" s="4" t="str">
        <f>CONCATENATE("3071-0000-0495","")</f>
        <v>3071-0000-0495</v>
      </c>
      <c r="B6853" s="4" t="s">
        <v>25</v>
      </c>
      <c r="C6853" s="5">
        <v>41489</v>
      </c>
      <c r="D6853" s="5">
        <v>41549</v>
      </c>
      <c r="E6853" s="4" t="s">
        <v>7</v>
      </c>
      <c r="F6853" s="4" t="s">
        <v>7</v>
      </c>
    </row>
    <row r="6854" spans="1:6" x14ac:dyDescent="0.25">
      <c r="A6854" s="4" t="str">
        <f>CONCATENATE("3071-0000-4776","")</f>
        <v>3071-0000-4776</v>
      </c>
      <c r="B6854" s="4" t="s">
        <v>9036</v>
      </c>
      <c r="C6854" s="5">
        <v>41489</v>
      </c>
      <c r="D6854" s="5">
        <v>41549</v>
      </c>
      <c r="E6854" s="4" t="s">
        <v>1410</v>
      </c>
      <c r="F6854" s="4" t="s">
        <v>8696</v>
      </c>
    </row>
    <row r="6855" spans="1:6" x14ac:dyDescent="0.25">
      <c r="A6855" s="4" t="str">
        <f>CONCATENATE("3071-0000-0194","")</f>
        <v>3071-0000-0194</v>
      </c>
      <c r="B6855" s="4" t="s">
        <v>424</v>
      </c>
      <c r="C6855" s="5">
        <v>41489</v>
      </c>
      <c r="D6855" s="5">
        <v>41549</v>
      </c>
      <c r="E6855" s="4" t="s">
        <v>7</v>
      </c>
      <c r="F6855" s="4" t="s">
        <v>7</v>
      </c>
    </row>
    <row r="6856" spans="1:6" x14ac:dyDescent="0.25">
      <c r="A6856" s="4" t="str">
        <f>CONCATENATE("3071-0000-7435","")</f>
        <v>3071-0000-7435</v>
      </c>
      <c r="B6856" s="4" t="s">
        <v>4537</v>
      </c>
      <c r="C6856" s="5">
        <v>41489</v>
      </c>
      <c r="D6856" s="5">
        <v>41549</v>
      </c>
      <c r="E6856" s="4" t="s">
        <v>1410</v>
      </c>
      <c r="F6856" s="4" t="s">
        <v>1410</v>
      </c>
    </row>
    <row r="6857" spans="1:6" x14ac:dyDescent="0.25">
      <c r="A6857" s="4" t="str">
        <f>CONCATENATE("3071-0000-6512","")</f>
        <v>3071-0000-6512</v>
      </c>
      <c r="B6857" s="4" t="s">
        <v>7932</v>
      </c>
      <c r="C6857" s="5">
        <v>41489</v>
      </c>
      <c r="D6857" s="5">
        <v>41549</v>
      </c>
      <c r="E6857" s="4" t="s">
        <v>5185</v>
      </c>
      <c r="F6857" s="4" t="s">
        <v>5185</v>
      </c>
    </row>
    <row r="6858" spans="1:6" x14ac:dyDescent="0.25">
      <c r="A6858" s="4" t="str">
        <f>CONCATENATE("3071-0000-5951","")</f>
        <v>3071-0000-5951</v>
      </c>
      <c r="B6858" s="4" t="s">
        <v>7306</v>
      </c>
      <c r="C6858" s="5">
        <v>41489</v>
      </c>
      <c r="D6858" s="5">
        <v>41549</v>
      </c>
      <c r="E6858" s="4" t="s">
        <v>5185</v>
      </c>
      <c r="F6858" s="4" t="s">
        <v>5185</v>
      </c>
    </row>
    <row r="6859" spans="1:6" x14ac:dyDescent="0.25">
      <c r="A6859" s="4" t="str">
        <f>CONCATENATE("3071-0000-8734","")</f>
        <v>3071-0000-8734</v>
      </c>
      <c r="B6859" s="4" t="s">
        <v>6527</v>
      </c>
      <c r="C6859" s="5">
        <v>41489</v>
      </c>
      <c r="D6859" s="5">
        <v>41549</v>
      </c>
      <c r="E6859" s="4" t="s">
        <v>5185</v>
      </c>
      <c r="F6859" s="4" t="s">
        <v>5292</v>
      </c>
    </row>
    <row r="6860" spans="1:6" x14ac:dyDescent="0.25">
      <c r="A6860" s="4" t="str">
        <f>CONCATENATE("3071-0000-8718","")</f>
        <v>3071-0000-8718</v>
      </c>
      <c r="B6860" s="4" t="s">
        <v>6360</v>
      </c>
      <c r="C6860" s="5">
        <v>41489</v>
      </c>
      <c r="D6860" s="5">
        <v>41549</v>
      </c>
      <c r="E6860" s="4" t="s">
        <v>5185</v>
      </c>
      <c r="F6860" s="4" t="s">
        <v>5292</v>
      </c>
    </row>
    <row r="6861" spans="1:6" x14ac:dyDescent="0.25">
      <c r="A6861" s="4" t="str">
        <f>CONCATENATE("3071-0000-7983","")</f>
        <v>3071-0000-7983</v>
      </c>
      <c r="B6861" s="4" t="s">
        <v>5961</v>
      </c>
      <c r="C6861" s="5">
        <v>41489</v>
      </c>
      <c r="D6861" s="5">
        <v>41549</v>
      </c>
      <c r="E6861" s="4" t="s">
        <v>5185</v>
      </c>
      <c r="F6861" s="4" t="s">
        <v>5185</v>
      </c>
    </row>
    <row r="6862" spans="1:6" x14ac:dyDescent="0.25">
      <c r="A6862" s="4" t="str">
        <f>CONCATENATE("3071-0000-7851","")</f>
        <v>3071-0000-7851</v>
      </c>
      <c r="B6862" s="4" t="s">
        <v>6303</v>
      </c>
      <c r="C6862" s="5">
        <v>41489</v>
      </c>
      <c r="D6862" s="5">
        <v>41549</v>
      </c>
      <c r="E6862" s="4" t="s">
        <v>5185</v>
      </c>
      <c r="F6862" s="4" t="s">
        <v>5185</v>
      </c>
    </row>
    <row r="6863" spans="1:6" x14ac:dyDescent="0.25">
      <c r="A6863" s="4" t="str">
        <f>CONCATENATE("3071-0000-0584","")</f>
        <v>3071-0000-0584</v>
      </c>
      <c r="B6863" s="4" t="s">
        <v>581</v>
      </c>
      <c r="C6863" s="5">
        <v>41489</v>
      </c>
      <c r="D6863" s="5">
        <v>41549</v>
      </c>
      <c r="E6863" s="4" t="s">
        <v>7</v>
      </c>
      <c r="F6863" s="4" t="s">
        <v>273</v>
      </c>
    </row>
    <row r="6864" spans="1:6" x14ac:dyDescent="0.25">
      <c r="A6864" s="4" t="str">
        <f>CONCATENATE("3071-0000-2570","")</f>
        <v>3071-0000-2570</v>
      </c>
      <c r="B6864" s="4" t="s">
        <v>3252</v>
      </c>
      <c r="C6864" s="5">
        <v>41489</v>
      </c>
      <c r="D6864" s="5">
        <v>41549</v>
      </c>
      <c r="E6864" s="4" t="s">
        <v>2944</v>
      </c>
      <c r="F6864" s="4" t="s">
        <v>3164</v>
      </c>
    </row>
    <row r="6865" spans="1:6" x14ac:dyDescent="0.25">
      <c r="A6865" s="4" t="str">
        <f>CONCATENATE("3071-0000-2245","")</f>
        <v>3071-0000-2245</v>
      </c>
      <c r="B6865" s="4" t="s">
        <v>3199</v>
      </c>
      <c r="C6865" s="5">
        <v>41489</v>
      </c>
      <c r="D6865" s="5">
        <v>41549</v>
      </c>
      <c r="E6865" s="4" t="s">
        <v>2944</v>
      </c>
      <c r="F6865" s="4" t="s">
        <v>2945</v>
      </c>
    </row>
    <row r="6866" spans="1:6" x14ac:dyDescent="0.25">
      <c r="A6866" s="4" t="str">
        <f>CONCATENATE("3071-0000-2584","")</f>
        <v>3071-0000-2584</v>
      </c>
      <c r="B6866" s="4" t="s">
        <v>3250</v>
      </c>
      <c r="C6866" s="5">
        <v>41489</v>
      </c>
      <c r="D6866" s="5">
        <v>41549</v>
      </c>
      <c r="E6866" s="4" t="s">
        <v>2944</v>
      </c>
      <c r="F6866" s="4" t="s">
        <v>3164</v>
      </c>
    </row>
    <row r="6867" spans="1:6" x14ac:dyDescent="0.25">
      <c r="A6867" s="4" t="str">
        <f>CONCATENATE("3071-0000-2585","")</f>
        <v>3071-0000-2585</v>
      </c>
      <c r="B6867" s="4" t="s">
        <v>3249</v>
      </c>
      <c r="C6867" s="5">
        <v>41489</v>
      </c>
      <c r="D6867" s="5">
        <v>41549</v>
      </c>
      <c r="E6867" s="4" t="s">
        <v>2944</v>
      </c>
      <c r="F6867" s="4" t="s">
        <v>3164</v>
      </c>
    </row>
    <row r="6868" spans="1:6" x14ac:dyDescent="0.25">
      <c r="A6868" s="4" t="str">
        <f>CONCATENATE("3071-0000-2069","")</f>
        <v>3071-0000-2069</v>
      </c>
      <c r="B6868" s="4" t="s">
        <v>3447</v>
      </c>
      <c r="C6868" s="5">
        <v>41489</v>
      </c>
      <c r="D6868" s="5">
        <v>41549</v>
      </c>
      <c r="E6868" s="4" t="s">
        <v>2944</v>
      </c>
      <c r="F6868" s="4" t="s">
        <v>2945</v>
      </c>
    </row>
    <row r="6869" spans="1:6" x14ac:dyDescent="0.25">
      <c r="A6869" s="4" t="str">
        <f>CONCATENATE("3071-0000-2389","")</f>
        <v>3071-0000-2389</v>
      </c>
      <c r="B6869" s="4" t="s">
        <v>3167</v>
      </c>
      <c r="C6869" s="5">
        <v>41489</v>
      </c>
      <c r="D6869" s="5">
        <v>41549</v>
      </c>
      <c r="E6869" s="4" t="s">
        <v>2944</v>
      </c>
      <c r="F6869" s="4" t="s">
        <v>3164</v>
      </c>
    </row>
    <row r="6870" spans="1:6" x14ac:dyDescent="0.25">
      <c r="A6870" s="4" t="str">
        <f>CONCATENATE("3071-0000-2573","")</f>
        <v>3071-0000-2573</v>
      </c>
      <c r="B6870" s="4" t="s">
        <v>3256</v>
      </c>
      <c r="C6870" s="5">
        <v>41489</v>
      </c>
      <c r="D6870" s="5">
        <v>41549</v>
      </c>
      <c r="E6870" s="4" t="s">
        <v>2944</v>
      </c>
      <c r="F6870" s="4" t="s">
        <v>3164</v>
      </c>
    </row>
    <row r="6871" spans="1:6" x14ac:dyDescent="0.25">
      <c r="A6871" s="4" t="str">
        <f>CONCATENATE("3071-0000-0386","")</f>
        <v>3071-0000-0386</v>
      </c>
      <c r="B6871" s="4" t="s">
        <v>520</v>
      </c>
      <c r="C6871" s="5">
        <v>41489</v>
      </c>
      <c r="D6871" s="5">
        <v>41549</v>
      </c>
      <c r="E6871" s="4" t="s">
        <v>7</v>
      </c>
      <c r="F6871" s="4" t="s">
        <v>7</v>
      </c>
    </row>
    <row r="6872" spans="1:6" x14ac:dyDescent="0.25">
      <c r="A6872" s="4" t="str">
        <f>CONCATENATE("3071-0000-1768","")</f>
        <v>3071-0000-1768</v>
      </c>
      <c r="B6872" s="4" t="s">
        <v>2742</v>
      </c>
      <c r="C6872" s="5">
        <v>41489</v>
      </c>
      <c r="D6872" s="5">
        <v>41549</v>
      </c>
      <c r="E6872" s="4" t="s">
        <v>1381</v>
      </c>
      <c r="F6872" s="4" t="s">
        <v>1382</v>
      </c>
    </row>
    <row r="6873" spans="1:6" x14ac:dyDescent="0.25">
      <c r="A6873" s="4" t="str">
        <f>CONCATENATE("3071-0000-0853","")</f>
        <v>3071-0000-0853</v>
      </c>
      <c r="B6873" s="4" t="s">
        <v>1942</v>
      </c>
      <c r="C6873" s="5">
        <v>41489</v>
      </c>
      <c r="D6873" s="5">
        <v>41549</v>
      </c>
      <c r="E6873" s="4" t="s">
        <v>1857</v>
      </c>
      <c r="F6873" s="4" t="s">
        <v>1857</v>
      </c>
    </row>
    <row r="6874" spans="1:6" x14ac:dyDescent="0.25">
      <c r="A6874" s="4" t="str">
        <f>CONCATENATE("3071-0000-0878","")</f>
        <v>3071-0000-0878</v>
      </c>
      <c r="B6874" s="4" t="s">
        <v>2011</v>
      </c>
      <c r="C6874" s="5">
        <v>41489</v>
      </c>
      <c r="D6874" s="5">
        <v>41549</v>
      </c>
      <c r="E6874" s="4" t="s">
        <v>1857</v>
      </c>
      <c r="F6874" s="4" t="s">
        <v>1857</v>
      </c>
    </row>
    <row r="6875" spans="1:6" x14ac:dyDescent="0.25">
      <c r="A6875" s="4" t="str">
        <f>CONCATENATE("3071-0000-4154","")</f>
        <v>3071-0000-4154</v>
      </c>
      <c r="B6875" s="4" t="s">
        <v>4055</v>
      </c>
      <c r="C6875" s="5">
        <v>41489</v>
      </c>
      <c r="D6875" s="5">
        <v>41549</v>
      </c>
      <c r="E6875" s="4" t="s">
        <v>1381</v>
      </c>
      <c r="F6875" s="4" t="s">
        <v>4044</v>
      </c>
    </row>
    <row r="6876" spans="1:6" x14ac:dyDescent="0.25">
      <c r="A6876" s="4" t="str">
        <f>CONCATENATE("3071-0000-3856","")</f>
        <v>3071-0000-3856</v>
      </c>
      <c r="B6876" s="4" t="s">
        <v>4002</v>
      </c>
      <c r="C6876" s="5">
        <v>41489</v>
      </c>
      <c r="D6876" s="5">
        <v>41549</v>
      </c>
      <c r="E6876" s="4" t="s">
        <v>1381</v>
      </c>
      <c r="F6876" s="4" t="s">
        <v>3994</v>
      </c>
    </row>
    <row r="6877" spans="1:6" x14ac:dyDescent="0.25">
      <c r="A6877" s="4" t="str">
        <f>CONCATENATE("3071-0000-2135","")</f>
        <v>3071-0000-2135</v>
      </c>
      <c r="B6877" s="4" t="s">
        <v>3590</v>
      </c>
      <c r="C6877" s="5">
        <v>41489</v>
      </c>
      <c r="D6877" s="5">
        <v>41549</v>
      </c>
      <c r="E6877" s="4" t="s">
        <v>2944</v>
      </c>
      <c r="F6877" s="4" t="s">
        <v>2945</v>
      </c>
    </row>
    <row r="6878" spans="1:6" x14ac:dyDescent="0.25">
      <c r="A6878" s="4" t="str">
        <f>CONCATENATE("3071-0000-2802","")</f>
        <v>3071-0000-2802</v>
      </c>
      <c r="B6878" s="4" t="s">
        <v>1004</v>
      </c>
      <c r="C6878" s="5">
        <v>41489</v>
      </c>
      <c r="D6878" s="5">
        <v>41549</v>
      </c>
      <c r="E6878" s="4" t="s">
        <v>7</v>
      </c>
      <c r="F6878" s="4" t="s">
        <v>808</v>
      </c>
    </row>
    <row r="6879" spans="1:6" x14ac:dyDescent="0.25">
      <c r="A6879" s="4" t="str">
        <f>CONCATENATE("3071-0000-8060","")</f>
        <v>3071-0000-8060</v>
      </c>
      <c r="B6879" s="4" t="s">
        <v>5900</v>
      </c>
      <c r="C6879" s="5">
        <v>41489</v>
      </c>
      <c r="D6879" s="5">
        <v>41549</v>
      </c>
      <c r="E6879" s="4" t="s">
        <v>5185</v>
      </c>
      <c r="F6879" s="4" t="s">
        <v>5185</v>
      </c>
    </row>
    <row r="6880" spans="1:6" x14ac:dyDescent="0.25">
      <c r="A6880" s="4" t="str">
        <f>CONCATENATE("3071-0000-7466","")</f>
        <v>3071-0000-7466</v>
      </c>
      <c r="B6880" s="4" t="s">
        <v>4615</v>
      </c>
      <c r="C6880" s="5">
        <v>41489</v>
      </c>
      <c r="D6880" s="5">
        <v>41549</v>
      </c>
      <c r="E6880" s="4" t="s">
        <v>1410</v>
      </c>
      <c r="F6880" s="4" t="s">
        <v>4616</v>
      </c>
    </row>
    <row r="6881" spans="1:6" x14ac:dyDescent="0.25">
      <c r="A6881" s="4" t="str">
        <f>CONCATENATE("3071-0000-8198","")</f>
        <v>3071-0000-8198</v>
      </c>
      <c r="B6881" s="4" t="s">
        <v>5970</v>
      </c>
      <c r="C6881" s="5">
        <v>41489</v>
      </c>
      <c r="D6881" s="5">
        <v>41549</v>
      </c>
      <c r="E6881" s="4" t="s">
        <v>5185</v>
      </c>
      <c r="F6881" s="4" t="s">
        <v>5185</v>
      </c>
    </row>
    <row r="6882" spans="1:6" x14ac:dyDescent="0.25">
      <c r="A6882" s="4" t="str">
        <f>CONCATENATE("3071-0000-9168","")</f>
        <v>3071-0000-9168</v>
      </c>
      <c r="B6882" s="4" t="s">
        <v>6161</v>
      </c>
      <c r="C6882" s="5">
        <v>41489</v>
      </c>
      <c r="D6882" s="5">
        <v>41549</v>
      </c>
      <c r="E6882" s="4" t="s">
        <v>5185</v>
      </c>
      <c r="F6882" s="4" t="s">
        <v>5945</v>
      </c>
    </row>
    <row r="6883" spans="1:6" x14ac:dyDescent="0.25">
      <c r="A6883" s="4" t="str">
        <f>CONCATENATE("3071-0000-1840","")</f>
        <v>3071-0000-1840</v>
      </c>
      <c r="B6883" s="4" t="s">
        <v>2396</v>
      </c>
      <c r="C6883" s="5">
        <v>41489</v>
      </c>
      <c r="D6883" s="5">
        <v>41549</v>
      </c>
      <c r="E6883" s="4" t="s">
        <v>1381</v>
      </c>
      <c r="F6883" s="4" t="s">
        <v>2303</v>
      </c>
    </row>
    <row r="6884" spans="1:6" x14ac:dyDescent="0.25">
      <c r="A6884" s="4" t="str">
        <f>CONCATENATE("3071-0000-8653","")</f>
        <v>3071-0000-8653</v>
      </c>
      <c r="B6884" s="4" t="s">
        <v>6421</v>
      </c>
      <c r="C6884" s="5">
        <v>41489</v>
      </c>
      <c r="D6884" s="5">
        <v>41549</v>
      </c>
      <c r="E6884" s="4" t="s">
        <v>5185</v>
      </c>
      <c r="F6884" s="4" t="s">
        <v>5292</v>
      </c>
    </row>
    <row r="6885" spans="1:6" x14ac:dyDescent="0.25">
      <c r="A6885" s="4" t="str">
        <f>CONCATENATE("3071-0000-8279","")</f>
        <v>3071-0000-8279</v>
      </c>
      <c r="B6885" s="4" t="s">
        <v>6217</v>
      </c>
      <c r="C6885" s="5">
        <v>41489</v>
      </c>
      <c r="D6885" s="5">
        <v>41549</v>
      </c>
      <c r="E6885" s="4" t="s">
        <v>5185</v>
      </c>
      <c r="F6885" s="4" t="s">
        <v>5185</v>
      </c>
    </row>
    <row r="6886" spans="1:6" x14ac:dyDescent="0.25">
      <c r="A6886" s="4" t="str">
        <f>CONCATENATE("3071-0000-9174","")</f>
        <v>3071-0000-9174</v>
      </c>
      <c r="B6886" s="4" t="s">
        <v>5209</v>
      </c>
      <c r="C6886" s="5">
        <v>41489</v>
      </c>
      <c r="D6886" s="5">
        <v>41549</v>
      </c>
      <c r="E6886" s="4" t="s">
        <v>5185</v>
      </c>
      <c r="F6886" s="4" t="s">
        <v>5185</v>
      </c>
    </row>
    <row r="6887" spans="1:6" x14ac:dyDescent="0.25">
      <c r="A6887" s="4" t="str">
        <f>CONCATENATE("3071-0000-9059","")</f>
        <v>3071-0000-9059</v>
      </c>
      <c r="B6887" s="4" t="s">
        <v>5221</v>
      </c>
      <c r="C6887" s="5">
        <v>41489</v>
      </c>
      <c r="D6887" s="5">
        <v>41549</v>
      </c>
      <c r="E6887" s="4" t="s">
        <v>5185</v>
      </c>
      <c r="F6887" s="4" t="s">
        <v>5185</v>
      </c>
    </row>
    <row r="6888" spans="1:6" x14ac:dyDescent="0.25">
      <c r="A6888" s="4" t="str">
        <f>CONCATENATE("3071-0000-1557","")</f>
        <v>3071-0000-1557</v>
      </c>
      <c r="B6888" s="4" t="s">
        <v>2767</v>
      </c>
      <c r="C6888" s="5">
        <v>41489</v>
      </c>
      <c r="D6888" s="5">
        <v>41549</v>
      </c>
      <c r="E6888" s="4" t="s">
        <v>1381</v>
      </c>
      <c r="F6888" s="4" t="s">
        <v>2303</v>
      </c>
    </row>
    <row r="6889" spans="1:6" x14ac:dyDescent="0.25">
      <c r="A6889" s="4" t="str">
        <f>CONCATENATE("3071-0000-4884","")</f>
        <v>3071-0000-4884</v>
      </c>
      <c r="B6889" s="4" t="s">
        <v>8799</v>
      </c>
      <c r="C6889" s="5">
        <v>41489</v>
      </c>
      <c r="D6889" s="5">
        <v>41549</v>
      </c>
      <c r="E6889" s="4" t="s">
        <v>1410</v>
      </c>
      <c r="F6889" s="4" t="s">
        <v>5258</v>
      </c>
    </row>
    <row r="6890" spans="1:6" x14ac:dyDescent="0.25">
      <c r="A6890" s="4" t="str">
        <f>CONCATENATE("3071-0000-7896","")</f>
        <v>3071-0000-7896</v>
      </c>
      <c r="B6890" s="4" t="s">
        <v>5498</v>
      </c>
      <c r="C6890" s="5">
        <v>41489</v>
      </c>
      <c r="D6890" s="5">
        <v>41549</v>
      </c>
      <c r="E6890" s="4" t="s">
        <v>5185</v>
      </c>
      <c r="F6890" s="4" t="s">
        <v>5185</v>
      </c>
    </row>
    <row r="6891" spans="1:6" x14ac:dyDescent="0.25">
      <c r="A6891" s="4" t="str">
        <f>CONCATENATE("3071-0000-1551","")</f>
        <v>3071-0000-1551</v>
      </c>
      <c r="B6891" s="4" t="s">
        <v>2302</v>
      </c>
      <c r="C6891" s="5">
        <v>41489</v>
      </c>
      <c r="D6891" s="5">
        <v>41549</v>
      </c>
      <c r="E6891" s="4" t="s">
        <v>1381</v>
      </c>
      <c r="F6891" s="4" t="s">
        <v>2303</v>
      </c>
    </row>
    <row r="6892" spans="1:6" x14ac:dyDescent="0.25">
      <c r="A6892" s="4" t="str">
        <f>CONCATENATE("3071-0000-0321","")</f>
        <v>3071-0000-0321</v>
      </c>
      <c r="B6892" s="4" t="s">
        <v>195</v>
      </c>
      <c r="C6892" s="5">
        <v>41489</v>
      </c>
      <c r="D6892" s="5">
        <v>41549</v>
      </c>
      <c r="E6892" s="4" t="s">
        <v>7</v>
      </c>
      <c r="F6892" s="4" t="s">
        <v>7</v>
      </c>
    </row>
    <row r="6893" spans="1:6" x14ac:dyDescent="0.25">
      <c r="A6893" s="4" t="str">
        <f>CONCATENATE("3071-0000-9037","")</f>
        <v>3071-0000-9037</v>
      </c>
      <c r="B6893" s="4" t="s">
        <v>6336</v>
      </c>
      <c r="C6893" s="5">
        <v>41489</v>
      </c>
      <c r="D6893" s="5">
        <v>41549</v>
      </c>
      <c r="E6893" s="4" t="s">
        <v>5185</v>
      </c>
      <c r="F6893" s="4" t="s">
        <v>5292</v>
      </c>
    </row>
    <row r="6894" spans="1:6" x14ac:dyDescent="0.25">
      <c r="A6894" s="4" t="str">
        <f>CONCATENATE("3071-0000-7857","")</f>
        <v>3071-0000-7857</v>
      </c>
      <c r="B6894" s="4" t="s">
        <v>6317</v>
      </c>
      <c r="C6894" s="5">
        <v>41489</v>
      </c>
      <c r="D6894" s="5">
        <v>41549</v>
      </c>
      <c r="E6894" s="4" t="s">
        <v>5185</v>
      </c>
      <c r="F6894" s="4" t="s">
        <v>5185</v>
      </c>
    </row>
    <row r="6895" spans="1:6" x14ac:dyDescent="0.25">
      <c r="A6895" s="4" t="str">
        <f>CONCATENATE("3071-0000-7856","")</f>
        <v>3071-0000-7856</v>
      </c>
      <c r="B6895" s="4" t="s">
        <v>6316</v>
      </c>
      <c r="C6895" s="5">
        <v>41489</v>
      </c>
      <c r="D6895" s="5">
        <v>41549</v>
      </c>
      <c r="E6895" s="4" t="s">
        <v>5185</v>
      </c>
      <c r="F6895" s="4" t="s">
        <v>5185</v>
      </c>
    </row>
    <row r="6896" spans="1:6" x14ac:dyDescent="0.25">
      <c r="A6896" s="4" t="str">
        <f>CONCATENATE("3071-0000-8658","")</f>
        <v>3071-0000-8658</v>
      </c>
      <c r="B6896" s="4" t="s">
        <v>6417</v>
      </c>
      <c r="C6896" s="5">
        <v>41489</v>
      </c>
      <c r="D6896" s="5">
        <v>41549</v>
      </c>
      <c r="E6896" s="4" t="s">
        <v>5185</v>
      </c>
      <c r="F6896" s="4" t="s">
        <v>5292</v>
      </c>
    </row>
    <row r="6897" spans="1:6" x14ac:dyDescent="0.25">
      <c r="A6897" s="4" t="str">
        <f>CONCATENATE("3071-0000-7291","")</f>
        <v>3071-0000-7291</v>
      </c>
      <c r="B6897" s="4" t="s">
        <v>4654</v>
      </c>
      <c r="C6897" s="5">
        <v>41489</v>
      </c>
      <c r="D6897" s="5">
        <v>41549</v>
      </c>
      <c r="E6897" s="4" t="s">
        <v>1410</v>
      </c>
      <c r="F6897" s="4" t="s">
        <v>1410</v>
      </c>
    </row>
    <row r="6898" spans="1:6" x14ac:dyDescent="0.25">
      <c r="A6898" s="4" t="str">
        <f>CONCATENATE("3071-0000-8868","")</f>
        <v>3071-0000-8868</v>
      </c>
      <c r="B6898" s="4" t="s">
        <v>6455</v>
      </c>
      <c r="C6898" s="5">
        <v>41489</v>
      </c>
      <c r="D6898" s="5">
        <v>41549</v>
      </c>
      <c r="E6898" s="4" t="s">
        <v>5185</v>
      </c>
      <c r="F6898" s="4" t="s">
        <v>5292</v>
      </c>
    </row>
    <row r="6899" spans="1:6" x14ac:dyDescent="0.25">
      <c r="A6899" s="4" t="str">
        <f>CONCATENATE("3071-0000-8804","")</f>
        <v>3071-0000-8804</v>
      </c>
      <c r="B6899" s="4" t="s">
        <v>6547</v>
      </c>
      <c r="C6899" s="5">
        <v>41489</v>
      </c>
      <c r="D6899" s="5">
        <v>41549</v>
      </c>
      <c r="E6899" s="4" t="s">
        <v>5185</v>
      </c>
      <c r="F6899" s="4" t="s">
        <v>5292</v>
      </c>
    </row>
    <row r="6900" spans="1:6" x14ac:dyDescent="0.25">
      <c r="A6900" s="4" t="str">
        <f>CONCATENATE("3071-0000-3569","")</f>
        <v>3071-0000-3569</v>
      </c>
      <c r="B6900" s="4" t="s">
        <v>1501</v>
      </c>
      <c r="C6900" s="5">
        <v>41489</v>
      </c>
      <c r="D6900" s="5">
        <v>41549</v>
      </c>
      <c r="E6900" s="4" t="s">
        <v>1410</v>
      </c>
      <c r="F6900" s="4" t="s">
        <v>1411</v>
      </c>
    </row>
    <row r="6901" spans="1:6" x14ac:dyDescent="0.25">
      <c r="A6901" s="4" t="str">
        <f>CONCATENATE("3071-0000-3360","")</f>
        <v>3071-0000-3360</v>
      </c>
      <c r="B6901" s="4" t="s">
        <v>1493</v>
      </c>
      <c r="C6901" s="5">
        <v>41489</v>
      </c>
      <c r="D6901" s="5">
        <v>41549</v>
      </c>
      <c r="E6901" s="4" t="s">
        <v>1410</v>
      </c>
      <c r="F6901" s="4" t="s">
        <v>1411</v>
      </c>
    </row>
    <row r="6902" spans="1:6" x14ac:dyDescent="0.25">
      <c r="A6902" s="4" t="str">
        <f>CONCATENATE("3071-0000-8802","")</f>
        <v>3071-0000-8802</v>
      </c>
      <c r="B6902" s="4" t="s">
        <v>6550</v>
      </c>
      <c r="C6902" s="5">
        <v>41489</v>
      </c>
      <c r="D6902" s="5">
        <v>41549</v>
      </c>
      <c r="E6902" s="4" t="s">
        <v>5185</v>
      </c>
      <c r="F6902" s="4" t="s">
        <v>5292</v>
      </c>
    </row>
    <row r="6903" spans="1:6" x14ac:dyDescent="0.25">
      <c r="A6903" s="4" t="str">
        <f>CONCATENATE("3071-0000-6002","")</f>
        <v>3071-0000-6002</v>
      </c>
      <c r="B6903" s="4" t="s">
        <v>7114</v>
      </c>
      <c r="C6903" s="5">
        <v>41489</v>
      </c>
      <c r="D6903" s="5">
        <v>41549</v>
      </c>
      <c r="E6903" s="4" t="s">
        <v>5185</v>
      </c>
      <c r="F6903" s="4" t="s">
        <v>5185</v>
      </c>
    </row>
    <row r="6904" spans="1:6" x14ac:dyDescent="0.25">
      <c r="A6904" s="4" t="str">
        <f>CONCATENATE("3071-0000-2297","")</f>
        <v>3071-0000-2297</v>
      </c>
      <c r="B6904" s="4" t="s">
        <v>3329</v>
      </c>
      <c r="C6904" s="5">
        <v>41489</v>
      </c>
      <c r="D6904" s="5">
        <v>41549</v>
      </c>
      <c r="E6904" s="4" t="s">
        <v>2944</v>
      </c>
      <c r="F6904" s="4" t="s">
        <v>2945</v>
      </c>
    </row>
    <row r="6905" spans="1:6" x14ac:dyDescent="0.25">
      <c r="A6905" s="4" t="str">
        <f>CONCATENATE("3071-0000-3063","")</f>
        <v>3071-0000-3063</v>
      </c>
      <c r="B6905" s="4" t="s">
        <v>887</v>
      </c>
      <c r="C6905" s="5">
        <v>41489</v>
      </c>
      <c r="D6905" s="5">
        <v>41549</v>
      </c>
      <c r="E6905" s="4" t="s">
        <v>7</v>
      </c>
      <c r="F6905" s="4" t="s">
        <v>808</v>
      </c>
    </row>
    <row r="6906" spans="1:6" x14ac:dyDescent="0.25">
      <c r="A6906" s="4" t="str">
        <f>CONCATENATE("3071-0000-8072","")</f>
        <v>3071-0000-8072</v>
      </c>
      <c r="B6906" s="4" t="s">
        <v>5907</v>
      </c>
      <c r="C6906" s="5">
        <v>41489</v>
      </c>
      <c r="D6906" s="5">
        <v>41549</v>
      </c>
      <c r="E6906" s="4" t="s">
        <v>5185</v>
      </c>
      <c r="F6906" s="4" t="s">
        <v>5185</v>
      </c>
    </row>
    <row r="6907" spans="1:6" x14ac:dyDescent="0.25">
      <c r="A6907" s="4" t="str">
        <f>CONCATENATE("3071-0000-4716","")</f>
        <v>3071-0000-4716</v>
      </c>
      <c r="B6907" s="4" t="s">
        <v>9674</v>
      </c>
      <c r="C6907" s="5">
        <v>41489</v>
      </c>
      <c r="D6907" s="5">
        <v>41549</v>
      </c>
      <c r="E6907" s="4" t="s">
        <v>1410</v>
      </c>
      <c r="F6907" s="4" t="s">
        <v>8696</v>
      </c>
    </row>
    <row r="6908" spans="1:6" x14ac:dyDescent="0.25">
      <c r="A6908" s="4" t="str">
        <f>CONCATENATE("3071-0000-4699","")</f>
        <v>3071-0000-4699</v>
      </c>
      <c r="B6908" s="4" t="s">
        <v>9637</v>
      </c>
      <c r="C6908" s="5">
        <v>41489</v>
      </c>
      <c r="D6908" s="5">
        <v>41549</v>
      </c>
      <c r="E6908" s="4" t="s">
        <v>1410</v>
      </c>
      <c r="F6908" s="4" t="s">
        <v>8696</v>
      </c>
    </row>
    <row r="6909" spans="1:6" x14ac:dyDescent="0.25">
      <c r="A6909" s="4" t="str">
        <f>CONCATENATE("3071-0000-4572","")</f>
        <v>3071-0000-4572</v>
      </c>
      <c r="B6909" s="4" t="s">
        <v>9585</v>
      </c>
      <c r="C6909" s="5">
        <v>41489</v>
      </c>
      <c r="D6909" s="5">
        <v>41549</v>
      </c>
      <c r="E6909" s="4" t="s">
        <v>1410</v>
      </c>
      <c r="F6909" s="4" t="s">
        <v>8696</v>
      </c>
    </row>
    <row r="6910" spans="1:6" x14ac:dyDescent="0.25">
      <c r="A6910" s="4" t="str">
        <f>CONCATENATE("3071-0000-4706","")</f>
        <v>3071-0000-4706</v>
      </c>
      <c r="B6910" s="4" t="s">
        <v>9596</v>
      </c>
      <c r="C6910" s="5">
        <v>41489</v>
      </c>
      <c r="D6910" s="5">
        <v>41549</v>
      </c>
      <c r="E6910" s="4" t="s">
        <v>1410</v>
      </c>
      <c r="F6910" s="4" t="s">
        <v>8696</v>
      </c>
    </row>
    <row r="6911" spans="1:6" x14ac:dyDescent="0.25">
      <c r="A6911" s="4" t="str">
        <f>CONCATENATE("3071-0000-4570","")</f>
        <v>3071-0000-4570</v>
      </c>
      <c r="B6911" s="4" t="s">
        <v>9581</v>
      </c>
      <c r="C6911" s="5">
        <v>41489</v>
      </c>
      <c r="D6911" s="5">
        <v>41549</v>
      </c>
      <c r="E6911" s="4" t="s">
        <v>1410</v>
      </c>
      <c r="F6911" s="4" t="s">
        <v>8696</v>
      </c>
    </row>
    <row r="6912" spans="1:6" x14ac:dyDescent="0.25">
      <c r="A6912" s="4" t="str">
        <f>CONCATENATE("3071-0000-4574","")</f>
        <v>3071-0000-4574</v>
      </c>
      <c r="B6912" s="4" t="s">
        <v>9590</v>
      </c>
      <c r="C6912" s="5">
        <v>41489</v>
      </c>
      <c r="D6912" s="5">
        <v>41549</v>
      </c>
      <c r="E6912" s="4" t="s">
        <v>1410</v>
      </c>
      <c r="F6912" s="4" t="s">
        <v>8696</v>
      </c>
    </row>
    <row r="6913" spans="1:6" x14ac:dyDescent="0.25">
      <c r="A6913" s="4" t="str">
        <f>CONCATENATE("3071-0000-4589","")</f>
        <v>3071-0000-4589</v>
      </c>
      <c r="B6913" s="4" t="s">
        <v>9617</v>
      </c>
      <c r="C6913" s="5">
        <v>41489</v>
      </c>
      <c r="D6913" s="5">
        <v>41549</v>
      </c>
      <c r="E6913" s="4" t="s">
        <v>1410</v>
      </c>
      <c r="F6913" s="4" t="s">
        <v>8696</v>
      </c>
    </row>
    <row r="6914" spans="1:6" x14ac:dyDescent="0.25">
      <c r="A6914" s="4" t="str">
        <f>CONCATENATE("3071-0000-4747","")</f>
        <v>3071-0000-4747</v>
      </c>
      <c r="B6914" s="4" t="s">
        <v>9663</v>
      </c>
      <c r="C6914" s="5">
        <v>41489</v>
      </c>
      <c r="D6914" s="5">
        <v>41549</v>
      </c>
      <c r="E6914" s="4" t="s">
        <v>1410</v>
      </c>
      <c r="F6914" s="4" t="s">
        <v>8696</v>
      </c>
    </row>
    <row r="6915" spans="1:6" x14ac:dyDescent="0.25">
      <c r="A6915" s="4" t="str">
        <f>CONCATENATE("3071-0000-4838","")</f>
        <v>3071-0000-4838</v>
      </c>
      <c r="B6915" s="4" t="s">
        <v>9572</v>
      </c>
      <c r="C6915" s="5">
        <v>41489</v>
      </c>
      <c r="D6915" s="5">
        <v>41549</v>
      </c>
      <c r="E6915" s="4" t="s">
        <v>1410</v>
      </c>
      <c r="F6915" s="4" t="s">
        <v>8696</v>
      </c>
    </row>
    <row r="6916" spans="1:6" x14ac:dyDescent="0.25">
      <c r="A6916" s="4" t="str">
        <f>CONCATENATE("3071-0000-4571","")</f>
        <v>3071-0000-4571</v>
      </c>
      <c r="B6916" s="4" t="s">
        <v>9584</v>
      </c>
      <c r="C6916" s="5">
        <v>41489</v>
      </c>
      <c r="D6916" s="5">
        <v>41549</v>
      </c>
      <c r="E6916" s="4" t="s">
        <v>1410</v>
      </c>
      <c r="F6916" s="4" t="s">
        <v>8696</v>
      </c>
    </row>
    <row r="6917" spans="1:6" x14ac:dyDescent="0.25">
      <c r="A6917" s="4" t="str">
        <f>CONCATENATE("3071-0000-4566","")</f>
        <v>3071-0000-4566</v>
      </c>
      <c r="B6917" s="4" t="s">
        <v>9574</v>
      </c>
      <c r="C6917" s="5">
        <v>41489</v>
      </c>
      <c r="D6917" s="5">
        <v>41549</v>
      </c>
      <c r="E6917" s="4" t="s">
        <v>1410</v>
      </c>
      <c r="F6917" s="4" t="s">
        <v>8696</v>
      </c>
    </row>
    <row r="6918" spans="1:6" x14ac:dyDescent="0.25">
      <c r="A6918" s="4" t="str">
        <f>CONCATENATE("3071-0000-1015","")</f>
        <v>3071-0000-1015</v>
      </c>
      <c r="B6918" s="4" t="s">
        <v>2234</v>
      </c>
      <c r="C6918" s="5">
        <v>41489</v>
      </c>
      <c r="D6918" s="5">
        <v>41549</v>
      </c>
      <c r="E6918" s="4" t="s">
        <v>1857</v>
      </c>
      <c r="F6918" s="4" t="s">
        <v>1857</v>
      </c>
    </row>
    <row r="6919" spans="1:6" x14ac:dyDescent="0.25">
      <c r="A6919" s="4" t="str">
        <f>CONCATENATE("3071-0000-3757","")</f>
        <v>3071-0000-3757</v>
      </c>
      <c r="B6919" s="4" t="s">
        <v>1626</v>
      </c>
      <c r="C6919" s="5">
        <v>41489</v>
      </c>
      <c r="D6919" s="5">
        <v>41549</v>
      </c>
      <c r="E6919" s="4" t="s">
        <v>1410</v>
      </c>
      <c r="F6919" s="4" t="s">
        <v>1613</v>
      </c>
    </row>
    <row r="6920" spans="1:6" x14ac:dyDescent="0.25">
      <c r="A6920" s="4" t="str">
        <f>CONCATENATE("3071-0000-7080","")</f>
        <v>3071-0000-7080</v>
      </c>
      <c r="B6920" s="4" t="s">
        <v>4824</v>
      </c>
      <c r="C6920" s="5">
        <v>41489</v>
      </c>
      <c r="D6920" s="5">
        <v>41549</v>
      </c>
      <c r="E6920" s="4" t="s">
        <v>1410</v>
      </c>
      <c r="F6920" s="4" t="s">
        <v>4655</v>
      </c>
    </row>
    <row r="6921" spans="1:6" x14ac:dyDescent="0.25">
      <c r="A6921" s="4" t="str">
        <f>CONCATENATE("3071-0000-7699","")</f>
        <v>3071-0000-7699</v>
      </c>
      <c r="B6921" s="4" t="s">
        <v>4739</v>
      </c>
      <c r="C6921" s="5">
        <v>41489</v>
      </c>
      <c r="D6921" s="5">
        <v>41549</v>
      </c>
      <c r="E6921" s="4" t="s">
        <v>1410</v>
      </c>
      <c r="F6921" s="4" t="s">
        <v>4655</v>
      </c>
    </row>
    <row r="6922" spans="1:6" x14ac:dyDescent="0.25">
      <c r="A6922" s="4" t="str">
        <f>CONCATENATE("3071-0000-7772","")</f>
        <v>3071-0000-7772</v>
      </c>
      <c r="B6922" s="4" t="s">
        <v>4740</v>
      </c>
      <c r="C6922" s="5">
        <v>41489</v>
      </c>
      <c r="D6922" s="5">
        <v>41549</v>
      </c>
      <c r="E6922" s="4" t="s">
        <v>1410</v>
      </c>
      <c r="F6922" s="4" t="s">
        <v>4655</v>
      </c>
    </row>
    <row r="6923" spans="1:6" x14ac:dyDescent="0.25">
      <c r="A6923" s="4" t="str">
        <f>CONCATENATE("3071-0000-7556","")</f>
        <v>3071-0000-7556</v>
      </c>
      <c r="B6923" s="4" t="s">
        <v>4384</v>
      </c>
      <c r="C6923" s="5">
        <v>41489</v>
      </c>
      <c r="D6923" s="5">
        <v>41549</v>
      </c>
      <c r="E6923" s="4" t="s">
        <v>1410</v>
      </c>
      <c r="F6923" s="4" t="s">
        <v>1410</v>
      </c>
    </row>
    <row r="6924" spans="1:6" x14ac:dyDescent="0.25">
      <c r="A6924" s="4" t="str">
        <f>CONCATENATE("3071-0000-5760","")</f>
        <v>3071-0000-5760</v>
      </c>
      <c r="B6924" s="4" t="s">
        <v>7454</v>
      </c>
      <c r="C6924" s="5">
        <v>41489</v>
      </c>
      <c r="D6924" s="5">
        <v>41549</v>
      </c>
      <c r="E6924" s="4" t="s">
        <v>5185</v>
      </c>
      <c r="F6924" s="4" t="s">
        <v>5185</v>
      </c>
    </row>
    <row r="6925" spans="1:6" x14ac:dyDescent="0.25">
      <c r="A6925" s="4" t="str">
        <f>CONCATENATE("3071-0000-1522","")</f>
        <v>3071-0000-1522</v>
      </c>
      <c r="B6925" s="4" t="s">
        <v>2863</v>
      </c>
      <c r="C6925" s="5">
        <v>41489</v>
      </c>
      <c r="D6925" s="5">
        <v>41549</v>
      </c>
      <c r="E6925" s="4" t="s">
        <v>1381</v>
      </c>
      <c r="F6925" s="4" t="s">
        <v>2303</v>
      </c>
    </row>
    <row r="6926" spans="1:6" x14ac:dyDescent="0.25">
      <c r="A6926" s="4" t="str">
        <f>CONCATENATE("3071-0000-1585","")</f>
        <v>3071-0000-1585</v>
      </c>
      <c r="B6926" s="4" t="s">
        <v>2883</v>
      </c>
      <c r="C6926" s="5">
        <v>41489</v>
      </c>
      <c r="D6926" s="5">
        <v>41549</v>
      </c>
      <c r="E6926" s="4" t="s">
        <v>1381</v>
      </c>
      <c r="F6926" s="4" t="s">
        <v>2303</v>
      </c>
    </row>
    <row r="6927" spans="1:6" x14ac:dyDescent="0.25">
      <c r="A6927" s="4" t="str">
        <f>CONCATENATE("3071-0000-1783","")</f>
        <v>3071-0000-1783</v>
      </c>
      <c r="B6927" s="4" t="s">
        <v>2869</v>
      </c>
      <c r="C6927" s="5">
        <v>41489</v>
      </c>
      <c r="D6927" s="5">
        <v>41549</v>
      </c>
      <c r="E6927" s="4" t="s">
        <v>1381</v>
      </c>
      <c r="F6927" s="4" t="s">
        <v>2840</v>
      </c>
    </row>
    <row r="6928" spans="1:6" x14ac:dyDescent="0.25">
      <c r="A6928" s="4" t="str">
        <f>CONCATENATE("3071-0000-8284","")</f>
        <v>3071-0000-8284</v>
      </c>
      <c r="B6928" s="4" t="s">
        <v>6222</v>
      </c>
      <c r="C6928" s="5">
        <v>41489</v>
      </c>
      <c r="D6928" s="5">
        <v>41549</v>
      </c>
      <c r="E6928" s="4" t="s">
        <v>5185</v>
      </c>
      <c r="F6928" s="4" t="s">
        <v>5185</v>
      </c>
    </row>
    <row r="6929" spans="1:6" x14ac:dyDescent="0.25">
      <c r="A6929" s="4" t="str">
        <f>CONCATENATE("3071-0000-8297","")</f>
        <v>3071-0000-8297</v>
      </c>
      <c r="B6929" s="4" t="s">
        <v>6237</v>
      </c>
      <c r="C6929" s="5">
        <v>41489</v>
      </c>
      <c r="D6929" s="5">
        <v>41549</v>
      </c>
      <c r="E6929" s="4" t="s">
        <v>5185</v>
      </c>
      <c r="F6929" s="4" t="s">
        <v>5185</v>
      </c>
    </row>
    <row r="6930" spans="1:6" x14ac:dyDescent="0.25">
      <c r="A6930" s="4" t="str">
        <f>CONCATENATE("3071-0000-8291","")</f>
        <v>3071-0000-8291</v>
      </c>
      <c r="B6930" s="4" t="s">
        <v>6231</v>
      </c>
      <c r="C6930" s="5">
        <v>41489</v>
      </c>
      <c r="D6930" s="5">
        <v>41549</v>
      </c>
      <c r="E6930" s="4" t="s">
        <v>5185</v>
      </c>
      <c r="F6930" s="4" t="s">
        <v>5185</v>
      </c>
    </row>
    <row r="6931" spans="1:6" x14ac:dyDescent="0.25">
      <c r="A6931" s="4" t="str">
        <f>CONCATENATE("3071-0000-7454","")</f>
        <v>3071-0000-7454</v>
      </c>
      <c r="B6931" s="4" t="s">
        <v>4416</v>
      </c>
      <c r="C6931" s="5">
        <v>41489</v>
      </c>
      <c r="D6931" s="5">
        <v>41549</v>
      </c>
      <c r="E6931" s="4" t="s">
        <v>1410</v>
      </c>
      <c r="F6931" s="4" t="s">
        <v>1410</v>
      </c>
    </row>
    <row r="6932" spans="1:6" x14ac:dyDescent="0.25">
      <c r="A6932" s="4" t="str">
        <f>CONCATENATE("3071-0000-0728","")</f>
        <v>3071-0000-0728</v>
      </c>
      <c r="B6932" s="4" t="s">
        <v>183</v>
      </c>
      <c r="C6932" s="5">
        <v>41489</v>
      </c>
      <c r="D6932" s="5">
        <v>41549</v>
      </c>
      <c r="E6932" s="4" t="s">
        <v>7</v>
      </c>
      <c r="F6932" s="4" t="s">
        <v>7</v>
      </c>
    </row>
    <row r="6933" spans="1:6" x14ac:dyDescent="0.25">
      <c r="A6933" s="4" t="str">
        <f>CONCATENATE("3071-0000-2282","")</f>
        <v>3071-0000-2282</v>
      </c>
      <c r="B6933" s="4" t="s">
        <v>3036</v>
      </c>
      <c r="C6933" s="5">
        <v>41489</v>
      </c>
      <c r="D6933" s="5">
        <v>41549</v>
      </c>
      <c r="E6933" s="4" t="s">
        <v>2944</v>
      </c>
      <c r="F6933" s="4" t="s">
        <v>2945</v>
      </c>
    </row>
    <row r="6934" spans="1:6" x14ac:dyDescent="0.25">
      <c r="A6934" s="4" t="str">
        <f>CONCATENATE("3071-0000-2666","")</f>
        <v>3071-0000-2666</v>
      </c>
      <c r="B6934" s="4" t="s">
        <v>3379</v>
      </c>
      <c r="C6934" s="5">
        <v>41489</v>
      </c>
      <c r="D6934" s="5">
        <v>41549</v>
      </c>
      <c r="E6934" s="4" t="s">
        <v>1857</v>
      </c>
      <c r="F6934" s="4" t="s">
        <v>3306</v>
      </c>
    </row>
    <row r="6935" spans="1:6" x14ac:dyDescent="0.25">
      <c r="A6935" s="4" t="str">
        <f>CONCATENATE("3071-0000-7615","")</f>
        <v>3071-0000-7615</v>
      </c>
      <c r="B6935" s="4" t="s">
        <v>4381</v>
      </c>
      <c r="C6935" s="5">
        <v>41489</v>
      </c>
      <c r="D6935" s="5">
        <v>41549</v>
      </c>
      <c r="E6935" s="4" t="s">
        <v>1410</v>
      </c>
      <c r="F6935" s="4" t="s">
        <v>1410</v>
      </c>
    </row>
    <row r="6936" spans="1:6" x14ac:dyDescent="0.25">
      <c r="A6936" s="4" t="str">
        <f>CONCATENATE("3071-0000-2009","")</f>
        <v>3071-0000-2009</v>
      </c>
      <c r="B6936" s="4" t="s">
        <v>3291</v>
      </c>
      <c r="C6936" s="5">
        <v>41489</v>
      </c>
      <c r="D6936" s="5">
        <v>41549</v>
      </c>
      <c r="E6936" s="4" t="s">
        <v>2944</v>
      </c>
      <c r="F6936" s="4" t="s">
        <v>2945</v>
      </c>
    </row>
    <row r="6937" spans="1:6" x14ac:dyDescent="0.25">
      <c r="A6937" s="4" t="str">
        <f>CONCATENATE("3071-0000-0084","")</f>
        <v>3071-0000-0084</v>
      </c>
      <c r="B6937" s="4" t="s">
        <v>155</v>
      </c>
      <c r="C6937" s="5">
        <v>41489</v>
      </c>
      <c r="D6937" s="5">
        <v>41549</v>
      </c>
      <c r="E6937" s="4" t="s">
        <v>7</v>
      </c>
      <c r="F6937" s="4" t="s">
        <v>7</v>
      </c>
    </row>
    <row r="6938" spans="1:6" x14ac:dyDescent="0.25">
      <c r="A6938" s="4" t="str">
        <f>CONCATENATE("3071-0000-2003","")</f>
        <v>3071-0000-2003</v>
      </c>
      <c r="B6938" s="4" t="s">
        <v>3299</v>
      </c>
      <c r="C6938" s="5">
        <v>41489</v>
      </c>
      <c r="D6938" s="5">
        <v>41549</v>
      </c>
      <c r="E6938" s="4" t="s">
        <v>2944</v>
      </c>
      <c r="F6938" s="4" t="s">
        <v>2945</v>
      </c>
    </row>
    <row r="6939" spans="1:6" x14ac:dyDescent="0.25">
      <c r="A6939" s="4" t="str">
        <f>CONCATENATE("3071-0000-2375","")</f>
        <v>3071-0000-2375</v>
      </c>
      <c r="B6939" s="4" t="s">
        <v>3294</v>
      </c>
      <c r="C6939" s="5">
        <v>41489</v>
      </c>
      <c r="D6939" s="5">
        <v>41549</v>
      </c>
      <c r="E6939" s="4" t="s">
        <v>2944</v>
      </c>
      <c r="F6939" s="4" t="s">
        <v>3280</v>
      </c>
    </row>
    <row r="6940" spans="1:6" x14ac:dyDescent="0.25">
      <c r="A6940" s="4" t="str">
        <f>CONCATENATE("3071-0000-8488","")</f>
        <v>3071-0000-8488</v>
      </c>
      <c r="B6940" s="4" t="s">
        <v>6112</v>
      </c>
      <c r="C6940" s="5">
        <v>41489</v>
      </c>
      <c r="D6940" s="5">
        <v>41549</v>
      </c>
      <c r="E6940" s="4" t="s">
        <v>5185</v>
      </c>
      <c r="F6940" s="4" t="s">
        <v>5945</v>
      </c>
    </row>
    <row r="6941" spans="1:6" x14ac:dyDescent="0.25">
      <c r="A6941" s="4" t="str">
        <f>CONCATENATE("3071-0000-4826","")</f>
        <v>3071-0000-4826</v>
      </c>
      <c r="B6941" s="4" t="s">
        <v>9500</v>
      </c>
      <c r="C6941" s="5">
        <v>41489</v>
      </c>
      <c r="D6941" s="5">
        <v>41549</v>
      </c>
      <c r="E6941" s="4" t="s">
        <v>1410</v>
      </c>
      <c r="F6941" s="4" t="s">
        <v>8696</v>
      </c>
    </row>
    <row r="6942" spans="1:6" x14ac:dyDescent="0.25">
      <c r="A6942" s="4" t="str">
        <f>CONCATENATE("3071-0000-5741","")</f>
        <v>3071-0000-5741</v>
      </c>
      <c r="B6942" s="4" t="s">
        <v>7458</v>
      </c>
      <c r="C6942" s="5">
        <v>41489</v>
      </c>
      <c r="D6942" s="5">
        <v>41549</v>
      </c>
      <c r="E6942" s="4" t="s">
        <v>5185</v>
      </c>
      <c r="F6942" s="4" t="s">
        <v>5185</v>
      </c>
    </row>
    <row r="6943" spans="1:6" x14ac:dyDescent="0.25">
      <c r="A6943" s="4" t="str">
        <f>CONCATENATE("3071-0000-7421","")</f>
        <v>3071-0000-7421</v>
      </c>
      <c r="B6943" s="4" t="s">
        <v>4751</v>
      </c>
      <c r="C6943" s="5">
        <v>41489</v>
      </c>
      <c r="D6943" s="5">
        <v>41549</v>
      </c>
      <c r="E6943" s="4" t="s">
        <v>1410</v>
      </c>
      <c r="F6943" s="4" t="s">
        <v>1410</v>
      </c>
    </row>
    <row r="6944" spans="1:6" x14ac:dyDescent="0.25">
      <c r="A6944" s="4" t="str">
        <f>CONCATENATE("3071-0000-5729","")</f>
        <v>3071-0000-5729</v>
      </c>
      <c r="B6944" s="4" t="s">
        <v>7444</v>
      </c>
      <c r="C6944" s="5">
        <v>41489</v>
      </c>
      <c r="D6944" s="5">
        <v>41549</v>
      </c>
      <c r="E6944" s="4" t="s">
        <v>5185</v>
      </c>
      <c r="F6944" s="4" t="s">
        <v>5185</v>
      </c>
    </row>
    <row r="6945" spans="1:6" x14ac:dyDescent="0.25">
      <c r="A6945" s="4" t="str">
        <f>CONCATENATE("3071-0000-6595","")</f>
        <v>3071-0000-6595</v>
      </c>
      <c r="B6945" s="4" t="s">
        <v>8009</v>
      </c>
      <c r="C6945" s="5">
        <v>41489</v>
      </c>
      <c r="D6945" s="5">
        <v>41549</v>
      </c>
      <c r="E6945" s="4" t="s">
        <v>5185</v>
      </c>
      <c r="F6945" s="4" t="s">
        <v>5185</v>
      </c>
    </row>
    <row r="6946" spans="1:6" x14ac:dyDescent="0.25">
      <c r="A6946" s="4" t="str">
        <f>CONCATENATE("3071-0000-0730","")</f>
        <v>3071-0000-0730</v>
      </c>
      <c r="B6946" s="4" t="s">
        <v>20</v>
      </c>
      <c r="C6946" s="5">
        <v>41489</v>
      </c>
      <c r="D6946" s="5">
        <v>41549</v>
      </c>
      <c r="E6946" s="4" t="s">
        <v>7</v>
      </c>
      <c r="F6946" s="4" t="s">
        <v>7</v>
      </c>
    </row>
    <row r="6947" spans="1:6" x14ac:dyDescent="0.25">
      <c r="A6947" s="4" t="str">
        <f>CONCATENATE("3071-0000-3786","")</f>
        <v>3071-0000-3786</v>
      </c>
      <c r="B6947" s="4" t="s">
        <v>3827</v>
      </c>
      <c r="C6947" s="5">
        <v>41489</v>
      </c>
      <c r="D6947" s="5">
        <v>41549</v>
      </c>
      <c r="E6947" s="4" t="s">
        <v>7</v>
      </c>
      <c r="F6947" s="4" t="s">
        <v>3818</v>
      </c>
    </row>
    <row r="6948" spans="1:6" x14ac:dyDescent="0.25">
      <c r="A6948" s="4" t="str">
        <f>CONCATENATE("3071-0000-3795","")</f>
        <v>3071-0000-3795</v>
      </c>
      <c r="B6948" s="4" t="s">
        <v>3835</v>
      </c>
      <c r="C6948" s="5">
        <v>41489</v>
      </c>
      <c r="D6948" s="5">
        <v>41549</v>
      </c>
      <c r="E6948" s="4" t="s">
        <v>7</v>
      </c>
      <c r="F6948" s="4" t="s">
        <v>3818</v>
      </c>
    </row>
    <row r="6949" spans="1:6" x14ac:dyDescent="0.25">
      <c r="A6949" s="4" t="str">
        <f>CONCATENATE("3071-0000-0576","")</f>
        <v>3071-0000-0576</v>
      </c>
      <c r="B6949" s="4" t="s">
        <v>196</v>
      </c>
      <c r="C6949" s="5">
        <v>41489</v>
      </c>
      <c r="D6949" s="5">
        <v>41549</v>
      </c>
      <c r="E6949" s="4" t="s">
        <v>7</v>
      </c>
      <c r="F6949" s="4" t="s">
        <v>7</v>
      </c>
    </row>
    <row r="6950" spans="1:6" x14ac:dyDescent="0.25">
      <c r="A6950" s="4" t="str">
        <f>CONCATENATE("3071-0000-6053","")</f>
        <v>3071-0000-6053</v>
      </c>
      <c r="B6950" s="4" t="s">
        <v>7422</v>
      </c>
      <c r="C6950" s="5">
        <v>41489</v>
      </c>
      <c r="D6950" s="5">
        <v>41549</v>
      </c>
      <c r="E6950" s="4" t="s">
        <v>1410</v>
      </c>
      <c r="F6950" s="4" t="s">
        <v>7309</v>
      </c>
    </row>
    <row r="6951" spans="1:6" x14ac:dyDescent="0.25">
      <c r="A6951" s="4" t="str">
        <f>CONCATENATE("3071-0000-6188","")</f>
        <v>3071-0000-6188</v>
      </c>
      <c r="B6951" s="4" t="s">
        <v>7731</v>
      </c>
      <c r="C6951" s="5">
        <v>41489</v>
      </c>
      <c r="D6951" s="5">
        <v>41549</v>
      </c>
      <c r="E6951" s="4" t="s">
        <v>1410</v>
      </c>
      <c r="F6951" s="4" t="s">
        <v>1410</v>
      </c>
    </row>
    <row r="6952" spans="1:6" x14ac:dyDescent="0.25">
      <c r="A6952" s="4" t="str">
        <f>CONCATENATE("3071-0000-6182","")</f>
        <v>3071-0000-6182</v>
      </c>
      <c r="B6952" s="4" t="s">
        <v>7732</v>
      </c>
      <c r="C6952" s="5">
        <v>41489</v>
      </c>
      <c r="D6952" s="5">
        <v>41549</v>
      </c>
      <c r="E6952" s="4" t="s">
        <v>1410</v>
      </c>
      <c r="F6952" s="4" t="s">
        <v>1410</v>
      </c>
    </row>
    <row r="6953" spans="1:6" x14ac:dyDescent="0.25">
      <c r="A6953" s="4" t="str">
        <f>CONCATENATE("3071-0000-6099","")</f>
        <v>3071-0000-6099</v>
      </c>
      <c r="B6953" s="4" t="s">
        <v>7696</v>
      </c>
      <c r="C6953" s="5">
        <v>41489</v>
      </c>
      <c r="D6953" s="5">
        <v>41549</v>
      </c>
      <c r="E6953" s="4" t="s">
        <v>1410</v>
      </c>
      <c r="F6953" s="4" t="s">
        <v>1410</v>
      </c>
    </row>
    <row r="6954" spans="1:6" x14ac:dyDescent="0.25">
      <c r="A6954" s="4" t="str">
        <f>CONCATENATE("3071-0000-6237","")</f>
        <v>3071-0000-6237</v>
      </c>
      <c r="B6954" s="4" t="s">
        <v>7665</v>
      </c>
      <c r="C6954" s="5">
        <v>41489</v>
      </c>
      <c r="D6954" s="5">
        <v>41549</v>
      </c>
      <c r="E6954" s="4" t="s">
        <v>1410</v>
      </c>
      <c r="F6954" s="4" t="s">
        <v>1410</v>
      </c>
    </row>
    <row r="6955" spans="1:6" x14ac:dyDescent="0.25">
      <c r="A6955" s="4" t="str">
        <f>CONCATENATE("3071-0000-5884","")</f>
        <v>3071-0000-5884</v>
      </c>
      <c r="B6955" s="4" t="s">
        <v>7566</v>
      </c>
      <c r="C6955" s="5">
        <v>41489</v>
      </c>
      <c r="D6955" s="5">
        <v>41549</v>
      </c>
      <c r="E6955" s="4" t="s">
        <v>5185</v>
      </c>
      <c r="F6955" s="4" t="s">
        <v>5185</v>
      </c>
    </row>
    <row r="6956" spans="1:6" x14ac:dyDescent="0.25">
      <c r="A6956" s="4" t="str">
        <f>CONCATENATE("3071-0000-6181","")</f>
        <v>3071-0000-6181</v>
      </c>
      <c r="B6956" s="4" t="s">
        <v>7739</v>
      </c>
      <c r="C6956" s="5">
        <v>41489</v>
      </c>
      <c r="D6956" s="5">
        <v>41549</v>
      </c>
      <c r="E6956" s="4" t="s">
        <v>1410</v>
      </c>
      <c r="F6956" s="4" t="s">
        <v>1410</v>
      </c>
    </row>
    <row r="6957" spans="1:6" x14ac:dyDescent="0.25">
      <c r="A6957" s="4" t="str">
        <f>CONCATENATE("3071-0000-4086","")</f>
        <v>3071-0000-4086</v>
      </c>
      <c r="B6957" s="4" t="s">
        <v>3899</v>
      </c>
      <c r="C6957" s="5">
        <v>41489</v>
      </c>
      <c r="D6957" s="5">
        <v>41549</v>
      </c>
      <c r="E6957" s="4" t="s">
        <v>7</v>
      </c>
      <c r="F6957" s="4" t="s">
        <v>3818</v>
      </c>
    </row>
    <row r="6958" spans="1:6" x14ac:dyDescent="0.25">
      <c r="A6958" s="4" t="str">
        <f>CONCATENATE("3071-0000-2303","")</f>
        <v>3071-0000-2303</v>
      </c>
      <c r="B6958" s="4" t="s">
        <v>3356</v>
      </c>
      <c r="C6958" s="5">
        <v>41489</v>
      </c>
      <c r="D6958" s="5">
        <v>41549</v>
      </c>
      <c r="E6958" s="4" t="s">
        <v>2944</v>
      </c>
      <c r="F6958" s="4" t="s">
        <v>2945</v>
      </c>
    </row>
    <row r="6959" spans="1:6" x14ac:dyDescent="0.25">
      <c r="A6959" s="4" t="str">
        <f>CONCATENATE("3071-0000-2008","")</f>
        <v>3071-0000-2008</v>
      </c>
      <c r="B6959" s="4" t="s">
        <v>3293</v>
      </c>
      <c r="C6959" s="5">
        <v>41489</v>
      </c>
      <c r="D6959" s="5">
        <v>41549</v>
      </c>
      <c r="E6959" s="4" t="s">
        <v>2944</v>
      </c>
      <c r="F6959" s="4" t="s">
        <v>2945</v>
      </c>
    </row>
    <row r="6960" spans="1:6" x14ac:dyDescent="0.25">
      <c r="A6960" s="4" t="str">
        <f>CONCATENATE("3071-0000-7819","")</f>
        <v>3071-0000-7819</v>
      </c>
      <c r="B6960" s="4" t="s">
        <v>5526</v>
      </c>
      <c r="C6960" s="5">
        <v>41489</v>
      </c>
      <c r="D6960" s="5">
        <v>41549</v>
      </c>
      <c r="E6960" s="4" t="s">
        <v>5185</v>
      </c>
      <c r="F6960" s="4" t="s">
        <v>5185</v>
      </c>
    </row>
    <row r="6961" spans="1:6" x14ac:dyDescent="0.25">
      <c r="A6961" s="4" t="str">
        <f>CONCATENATE("3071-0000-4739","")</f>
        <v>3071-0000-4739</v>
      </c>
      <c r="B6961" s="4" t="s">
        <v>9682</v>
      </c>
      <c r="C6961" s="5">
        <v>41489</v>
      </c>
      <c r="D6961" s="5">
        <v>41549</v>
      </c>
      <c r="E6961" s="4" t="s">
        <v>1410</v>
      </c>
      <c r="F6961" s="4" t="s">
        <v>8696</v>
      </c>
    </row>
    <row r="6962" spans="1:6" x14ac:dyDescent="0.25">
      <c r="A6962" s="4" t="str">
        <f>CONCATENATE("3071-0000-4349","")</f>
        <v>3071-0000-4349</v>
      </c>
      <c r="B6962" s="4" t="s">
        <v>9113</v>
      </c>
      <c r="C6962" s="5">
        <v>41489</v>
      </c>
      <c r="D6962" s="5">
        <v>41549</v>
      </c>
      <c r="E6962" s="4" t="s">
        <v>7069</v>
      </c>
      <c r="F6962" s="4" t="s">
        <v>9065</v>
      </c>
    </row>
    <row r="6963" spans="1:6" x14ac:dyDescent="0.25">
      <c r="A6963" s="4" t="str">
        <f>CONCATENATE("3071-0000-9494","")</f>
        <v>3071-0000-9494</v>
      </c>
      <c r="B6963" s="4" t="s">
        <v>8551</v>
      </c>
      <c r="C6963" s="5">
        <v>41489</v>
      </c>
      <c r="D6963" s="5">
        <v>41549</v>
      </c>
      <c r="E6963" s="4" t="s">
        <v>1410</v>
      </c>
      <c r="F6963" s="4" t="s">
        <v>4459</v>
      </c>
    </row>
    <row r="6964" spans="1:6" x14ac:dyDescent="0.25">
      <c r="A6964" s="4" t="str">
        <f>CONCATENATE("3071-0000-7478","")</f>
        <v>3071-0000-7478</v>
      </c>
      <c r="B6964" s="4" t="s">
        <v>4852</v>
      </c>
      <c r="C6964" s="5">
        <v>41489</v>
      </c>
      <c r="D6964" s="5">
        <v>41549</v>
      </c>
      <c r="E6964" s="4" t="s">
        <v>1410</v>
      </c>
      <c r="F6964" s="4" t="s">
        <v>4655</v>
      </c>
    </row>
    <row r="6965" spans="1:6" x14ac:dyDescent="0.25">
      <c r="A6965" s="4" t="str">
        <f>CONCATENATE("3071-0000-1418","")</f>
        <v>3071-0000-1418</v>
      </c>
      <c r="B6965" s="4" t="s">
        <v>2642</v>
      </c>
      <c r="C6965" s="5">
        <v>41489</v>
      </c>
      <c r="D6965" s="5">
        <v>41549</v>
      </c>
      <c r="E6965" s="4" t="s">
        <v>1381</v>
      </c>
      <c r="F6965" s="4" t="s">
        <v>2303</v>
      </c>
    </row>
    <row r="6966" spans="1:6" x14ac:dyDescent="0.25">
      <c r="A6966" s="4" t="str">
        <f>CONCATENATE("3071-0000-5389","")</f>
        <v>3071-0000-5389</v>
      </c>
      <c r="B6966" s="4" t="s">
        <v>6882</v>
      </c>
      <c r="C6966" s="5">
        <v>41489</v>
      </c>
      <c r="D6966" s="5">
        <v>41549</v>
      </c>
      <c r="E6966" s="4" t="s">
        <v>5185</v>
      </c>
      <c r="F6966" s="4" t="s">
        <v>5185</v>
      </c>
    </row>
    <row r="6967" spans="1:6" x14ac:dyDescent="0.25">
      <c r="A6967" s="4" t="str">
        <f>CONCATENATE("3071-0000-5373","")</f>
        <v>3071-0000-5373</v>
      </c>
      <c r="B6967" s="4" t="s">
        <v>6883</v>
      </c>
      <c r="C6967" s="5">
        <v>41489</v>
      </c>
      <c r="D6967" s="5">
        <v>41549</v>
      </c>
      <c r="E6967" s="4" t="s">
        <v>5185</v>
      </c>
      <c r="F6967" s="4" t="s">
        <v>5185</v>
      </c>
    </row>
    <row r="6968" spans="1:6" x14ac:dyDescent="0.25">
      <c r="A6968" s="4" t="str">
        <f>CONCATENATE("3071-0000-5343","")</f>
        <v>3071-0000-5343</v>
      </c>
      <c r="B6968" s="4" t="s">
        <v>6842</v>
      </c>
      <c r="C6968" s="5">
        <v>41489</v>
      </c>
      <c r="D6968" s="5">
        <v>41549</v>
      </c>
      <c r="E6968" s="4" t="s">
        <v>5185</v>
      </c>
      <c r="F6968" s="4" t="s">
        <v>5185</v>
      </c>
    </row>
    <row r="6969" spans="1:6" x14ac:dyDescent="0.25">
      <c r="A6969" s="4" t="str">
        <f>CONCATENATE("3071-0000-1567","")</f>
        <v>3071-0000-1567</v>
      </c>
      <c r="B6969" s="4" t="s">
        <v>2678</v>
      </c>
      <c r="C6969" s="5">
        <v>41489</v>
      </c>
      <c r="D6969" s="5">
        <v>41549</v>
      </c>
      <c r="E6969" s="4" t="s">
        <v>1381</v>
      </c>
      <c r="F6969" s="4" t="s">
        <v>2303</v>
      </c>
    </row>
    <row r="6970" spans="1:6" x14ac:dyDescent="0.25">
      <c r="A6970" s="4" t="str">
        <f>CONCATENATE("3071-0000-9457","")</f>
        <v>3071-0000-9457</v>
      </c>
      <c r="B6970" s="4" t="s">
        <v>8506</v>
      </c>
      <c r="C6970" s="5">
        <v>41489</v>
      </c>
      <c r="D6970" s="5">
        <v>41549</v>
      </c>
      <c r="E6970" s="4" t="s">
        <v>1410</v>
      </c>
      <c r="F6970" s="4" t="s">
        <v>4459</v>
      </c>
    </row>
    <row r="6971" spans="1:6" x14ac:dyDescent="0.25">
      <c r="A6971" s="4" t="str">
        <f>CONCATENATE("3071-0000-3430","")</f>
        <v>3071-0000-3430</v>
      </c>
      <c r="B6971" s="4" t="s">
        <v>1702</v>
      </c>
      <c r="C6971" s="5">
        <v>41489</v>
      </c>
      <c r="D6971" s="5">
        <v>41549</v>
      </c>
      <c r="E6971" s="4" t="s">
        <v>1410</v>
      </c>
      <c r="F6971" s="4" t="s">
        <v>1411</v>
      </c>
    </row>
    <row r="6972" spans="1:6" x14ac:dyDescent="0.25">
      <c r="A6972" s="4" t="str">
        <f>CONCATENATE("3071-0000-1488","")</f>
        <v>3071-0000-1488</v>
      </c>
      <c r="B6972" s="4" t="s">
        <v>2833</v>
      </c>
      <c r="C6972" s="5">
        <v>41489</v>
      </c>
      <c r="D6972" s="5">
        <v>41549</v>
      </c>
      <c r="E6972" s="4" t="s">
        <v>1381</v>
      </c>
      <c r="F6972" s="4" t="s">
        <v>2303</v>
      </c>
    </row>
    <row r="6973" spans="1:6" x14ac:dyDescent="0.25">
      <c r="A6973" s="4" t="str">
        <f>CONCATENATE("3071-0000-1490","")</f>
        <v>3071-0000-1490</v>
      </c>
      <c r="B6973" s="4" t="s">
        <v>2839</v>
      </c>
      <c r="C6973" s="5">
        <v>41489</v>
      </c>
      <c r="D6973" s="5">
        <v>41549</v>
      </c>
      <c r="E6973" s="4" t="s">
        <v>1381</v>
      </c>
      <c r="F6973" s="4" t="s">
        <v>2303</v>
      </c>
    </row>
    <row r="6974" spans="1:6" x14ac:dyDescent="0.25">
      <c r="A6974" s="4" t="str">
        <f>CONCATENATE("3071-0000-4928","")</f>
        <v>3071-0000-4928</v>
      </c>
      <c r="B6974" s="4" t="s">
        <v>8768</v>
      </c>
      <c r="C6974" s="5">
        <v>41489</v>
      </c>
      <c r="D6974" s="5">
        <v>41549</v>
      </c>
      <c r="E6974" s="4" t="s">
        <v>1410</v>
      </c>
      <c r="F6974" s="4" t="s">
        <v>8696</v>
      </c>
    </row>
    <row r="6975" spans="1:6" x14ac:dyDescent="0.25">
      <c r="A6975" s="4" t="str">
        <f>CONCATENATE("3071-0000-5975","")</f>
        <v>3071-0000-5975</v>
      </c>
      <c r="B6975" s="4" t="s">
        <v>7179</v>
      </c>
      <c r="C6975" s="5">
        <v>41489</v>
      </c>
      <c r="D6975" s="5">
        <v>41549</v>
      </c>
      <c r="E6975" s="4" t="s">
        <v>5185</v>
      </c>
      <c r="F6975" s="4" t="s">
        <v>5185</v>
      </c>
    </row>
    <row r="6976" spans="1:6" x14ac:dyDescent="0.25">
      <c r="A6976" s="4" t="str">
        <f>CONCATENATE("3071-0000-2829","")</f>
        <v>3071-0000-2829</v>
      </c>
      <c r="B6976" s="4" t="s">
        <v>1085</v>
      </c>
      <c r="C6976" s="5">
        <v>41489</v>
      </c>
      <c r="D6976" s="5">
        <v>41549</v>
      </c>
      <c r="E6976" s="4" t="s">
        <v>7</v>
      </c>
      <c r="F6976" s="4" t="s">
        <v>808</v>
      </c>
    </row>
    <row r="6977" spans="1:6" x14ac:dyDescent="0.25">
      <c r="A6977" s="4" t="str">
        <f>CONCATENATE("3071-0000-2796","")</f>
        <v>3071-0000-2796</v>
      </c>
      <c r="B6977" s="4" t="s">
        <v>995</v>
      </c>
      <c r="C6977" s="5">
        <v>41489</v>
      </c>
      <c r="D6977" s="5">
        <v>41549</v>
      </c>
      <c r="E6977" s="4" t="s">
        <v>7</v>
      </c>
      <c r="F6977" s="4" t="s">
        <v>808</v>
      </c>
    </row>
    <row r="6978" spans="1:6" x14ac:dyDescent="0.25">
      <c r="A6978" s="4" t="str">
        <f>CONCATENATE("3071-0000-7580","")</f>
        <v>3071-0000-7580</v>
      </c>
      <c r="B6978" s="4" t="s">
        <v>4668</v>
      </c>
      <c r="C6978" s="5">
        <v>41489</v>
      </c>
      <c r="D6978" s="5">
        <v>41549</v>
      </c>
      <c r="E6978" s="4" t="s">
        <v>1410</v>
      </c>
      <c r="F6978" s="4" t="s">
        <v>4655</v>
      </c>
    </row>
    <row r="6979" spans="1:6" x14ac:dyDescent="0.25">
      <c r="A6979" s="4" t="str">
        <f>CONCATENATE("3071-0000-1170","")</f>
        <v>3071-0000-1170</v>
      </c>
      <c r="B6979" s="4" t="s">
        <v>2131</v>
      </c>
      <c r="C6979" s="5">
        <v>41489</v>
      </c>
      <c r="D6979" s="5">
        <v>41549</v>
      </c>
      <c r="E6979" s="4" t="s">
        <v>1857</v>
      </c>
      <c r="F6979" s="4" t="s">
        <v>2108</v>
      </c>
    </row>
    <row r="6980" spans="1:6" x14ac:dyDescent="0.25">
      <c r="A6980" s="4" t="str">
        <f>CONCATENATE("3071-0000-7692","")</f>
        <v>3071-0000-7692</v>
      </c>
      <c r="B6980" s="4" t="s">
        <v>4597</v>
      </c>
      <c r="C6980" s="5">
        <v>41489</v>
      </c>
      <c r="D6980" s="5">
        <v>41549</v>
      </c>
      <c r="E6980" s="4" t="s">
        <v>1410</v>
      </c>
      <c r="F6980" s="4" t="s">
        <v>1410</v>
      </c>
    </row>
    <row r="6981" spans="1:6" x14ac:dyDescent="0.25">
      <c r="A6981" s="4" t="str">
        <f>CONCATENATE("3071-0000-2336","")</f>
        <v>3071-0000-2336</v>
      </c>
      <c r="B6981" s="4" t="s">
        <v>3713</v>
      </c>
      <c r="C6981" s="5">
        <v>41489</v>
      </c>
      <c r="D6981" s="5">
        <v>41549</v>
      </c>
      <c r="E6981" s="4" t="s">
        <v>2944</v>
      </c>
      <c r="F6981" s="4" t="s">
        <v>2945</v>
      </c>
    </row>
    <row r="6982" spans="1:6" x14ac:dyDescent="0.25">
      <c r="A6982" s="4" t="str">
        <f>CONCATENATE("3071-0000-4985","")</f>
        <v>3071-0000-4985</v>
      </c>
      <c r="B6982" s="4" t="s">
        <v>9423</v>
      </c>
      <c r="C6982" s="5">
        <v>41489</v>
      </c>
      <c r="D6982" s="5">
        <v>41549</v>
      </c>
      <c r="E6982" s="4" t="s">
        <v>7069</v>
      </c>
      <c r="F6982" s="4" t="s">
        <v>9210</v>
      </c>
    </row>
    <row r="6983" spans="1:6" x14ac:dyDescent="0.25">
      <c r="A6983" s="4" t="str">
        <f>CONCATENATE("3071-0000-7026","")</f>
        <v>3071-0000-7026</v>
      </c>
      <c r="B6983" s="4" t="s">
        <v>4698</v>
      </c>
      <c r="C6983" s="5">
        <v>41489</v>
      </c>
      <c r="D6983" s="5">
        <v>41549</v>
      </c>
      <c r="E6983" s="4" t="s">
        <v>1410</v>
      </c>
      <c r="F6983" s="4" t="s">
        <v>1410</v>
      </c>
    </row>
    <row r="6984" spans="1:6" x14ac:dyDescent="0.25">
      <c r="A6984" s="4" t="str">
        <f>CONCATENATE("3071-0000-0255","")</f>
        <v>3071-0000-0255</v>
      </c>
      <c r="B6984" s="4" t="s">
        <v>560</v>
      </c>
      <c r="C6984" s="5">
        <v>41489</v>
      </c>
      <c r="D6984" s="5">
        <v>41549</v>
      </c>
      <c r="E6984" s="4" t="s">
        <v>7</v>
      </c>
      <c r="F6984" s="4" t="s">
        <v>7</v>
      </c>
    </row>
    <row r="6985" spans="1:6" x14ac:dyDescent="0.25">
      <c r="A6985" s="4" t="str">
        <f>CONCATENATE("3071-0000-6508","")</f>
        <v>3071-0000-6508</v>
      </c>
      <c r="B6985" s="4" t="s">
        <v>7928</v>
      </c>
      <c r="C6985" s="5">
        <v>41489</v>
      </c>
      <c r="D6985" s="5">
        <v>41549</v>
      </c>
      <c r="E6985" s="4" t="s">
        <v>5185</v>
      </c>
      <c r="F6985" s="4" t="s">
        <v>5185</v>
      </c>
    </row>
    <row r="6986" spans="1:6" x14ac:dyDescent="0.25">
      <c r="A6986" s="4" t="str">
        <f>CONCATENATE("3071-0000-6362","")</f>
        <v>3071-0000-6362</v>
      </c>
      <c r="B6986" s="4" t="s">
        <v>7884</v>
      </c>
      <c r="C6986" s="5">
        <v>41489</v>
      </c>
      <c r="D6986" s="5">
        <v>41549</v>
      </c>
      <c r="E6986" s="4" t="s">
        <v>5185</v>
      </c>
      <c r="F6986" s="4" t="s">
        <v>5185</v>
      </c>
    </row>
    <row r="6987" spans="1:6" x14ac:dyDescent="0.25">
      <c r="A6987" s="4" t="str">
        <f>CONCATENATE("3071-0000-7024","")</f>
        <v>3071-0000-7024</v>
      </c>
      <c r="B6987" s="4" t="s">
        <v>4811</v>
      </c>
      <c r="C6987" s="5">
        <v>41489</v>
      </c>
      <c r="D6987" s="5">
        <v>41549</v>
      </c>
      <c r="E6987" s="4" t="s">
        <v>1410</v>
      </c>
      <c r="F6987" s="4" t="s">
        <v>1410</v>
      </c>
    </row>
    <row r="6988" spans="1:6" x14ac:dyDescent="0.25">
      <c r="A6988" s="4" t="str">
        <f>CONCATENATE("3071-0000-4655","")</f>
        <v>3071-0000-4655</v>
      </c>
      <c r="B6988" s="4" t="s">
        <v>9448</v>
      </c>
      <c r="C6988" s="5">
        <v>41489</v>
      </c>
      <c r="D6988" s="5">
        <v>41549</v>
      </c>
      <c r="E6988" s="4" t="s">
        <v>1410</v>
      </c>
      <c r="F6988" s="4" t="s">
        <v>8696</v>
      </c>
    </row>
    <row r="6989" spans="1:6" x14ac:dyDescent="0.25">
      <c r="A6989" s="4" t="str">
        <f>CONCATENATE("3071-0000-3511","")</f>
        <v>3071-0000-3511</v>
      </c>
      <c r="B6989" s="4" t="s">
        <v>1831</v>
      </c>
      <c r="C6989" s="5">
        <v>41489</v>
      </c>
      <c r="D6989" s="5">
        <v>41549</v>
      </c>
      <c r="E6989" s="4" t="s">
        <v>1410</v>
      </c>
      <c r="F6989" s="4" t="s">
        <v>1411</v>
      </c>
    </row>
    <row r="6990" spans="1:6" x14ac:dyDescent="0.25">
      <c r="A6990" s="4" t="str">
        <f>CONCATENATE("3071-0000-6749","")</f>
        <v>3071-0000-6749</v>
      </c>
      <c r="B6990" s="4" t="s">
        <v>8201</v>
      </c>
      <c r="C6990" s="5">
        <v>41489</v>
      </c>
      <c r="D6990" s="5">
        <v>41549</v>
      </c>
      <c r="E6990" s="4" t="s">
        <v>1410</v>
      </c>
      <c r="F6990" s="4" t="s">
        <v>4655</v>
      </c>
    </row>
    <row r="6991" spans="1:6" x14ac:dyDescent="0.25">
      <c r="A6991" s="4" t="str">
        <f>CONCATENATE("3071-0000-5088","")</f>
        <v>3071-0000-5088</v>
      </c>
      <c r="B6991" s="4" t="s">
        <v>9299</v>
      </c>
      <c r="C6991" s="5">
        <v>41489</v>
      </c>
      <c r="D6991" s="5">
        <v>41549</v>
      </c>
      <c r="E6991" s="4" t="s">
        <v>7069</v>
      </c>
      <c r="F6991" s="4" t="s">
        <v>9210</v>
      </c>
    </row>
    <row r="6992" spans="1:6" x14ac:dyDescent="0.25">
      <c r="A6992" s="4" t="str">
        <f>CONCATENATE("3071-0000-5024","")</f>
        <v>3071-0000-5024</v>
      </c>
      <c r="B6992" s="4" t="s">
        <v>9226</v>
      </c>
      <c r="C6992" s="5">
        <v>41489</v>
      </c>
      <c r="D6992" s="5">
        <v>41549</v>
      </c>
      <c r="E6992" s="4" t="s">
        <v>7069</v>
      </c>
      <c r="F6992" s="4" t="s">
        <v>9210</v>
      </c>
    </row>
    <row r="6993" spans="1:6" x14ac:dyDescent="0.25">
      <c r="A6993" s="4" t="str">
        <f>CONCATENATE("3071-0000-5478","")</f>
        <v>3071-0000-5478</v>
      </c>
      <c r="B6993" s="4" t="s">
        <v>6640</v>
      </c>
      <c r="C6993" s="5">
        <v>41489</v>
      </c>
      <c r="D6993" s="5">
        <v>41549</v>
      </c>
      <c r="E6993" s="4" t="s">
        <v>1410</v>
      </c>
      <c r="F6993" s="4" t="s">
        <v>6635</v>
      </c>
    </row>
    <row r="6994" spans="1:6" x14ac:dyDescent="0.25">
      <c r="A6994" s="4" t="str">
        <f>CONCATENATE("3071-0000-7647","")</f>
        <v>3071-0000-7647</v>
      </c>
      <c r="B6994" s="4" t="s">
        <v>5177</v>
      </c>
      <c r="C6994" s="5">
        <v>41489</v>
      </c>
      <c r="D6994" s="5">
        <v>41549</v>
      </c>
      <c r="E6994" s="4" t="s">
        <v>1410</v>
      </c>
      <c r="F6994" s="4" t="s">
        <v>4616</v>
      </c>
    </row>
    <row r="6995" spans="1:6" x14ac:dyDescent="0.25">
      <c r="A6995" s="4" t="str">
        <f>CONCATENATE("3071-0000-0646","")</f>
        <v>3071-0000-0646</v>
      </c>
      <c r="B6995" s="4" t="s">
        <v>495</v>
      </c>
      <c r="C6995" s="5">
        <v>41489</v>
      </c>
      <c r="D6995" s="5">
        <v>41549</v>
      </c>
      <c r="E6995" s="4" t="s">
        <v>7</v>
      </c>
      <c r="F6995" s="4" t="s">
        <v>7</v>
      </c>
    </row>
    <row r="6996" spans="1:6" x14ac:dyDescent="0.25">
      <c r="A6996" s="4" t="str">
        <f>CONCATENATE("3071-0000-6503","")</f>
        <v>3071-0000-6503</v>
      </c>
      <c r="B6996" s="4" t="s">
        <v>7923</v>
      </c>
      <c r="C6996" s="5">
        <v>41489</v>
      </c>
      <c r="D6996" s="5">
        <v>41549</v>
      </c>
      <c r="E6996" s="4" t="s">
        <v>5185</v>
      </c>
      <c r="F6996" s="4" t="s">
        <v>5185</v>
      </c>
    </row>
    <row r="6997" spans="1:6" x14ac:dyDescent="0.25">
      <c r="A6997" s="4" t="str">
        <f>CONCATENATE("3071-0000-7338","")</f>
        <v>3071-0000-7338</v>
      </c>
      <c r="B6997" s="4" t="s">
        <v>4708</v>
      </c>
      <c r="C6997" s="5">
        <v>41489</v>
      </c>
      <c r="D6997" s="5">
        <v>41549</v>
      </c>
      <c r="E6997" s="4" t="s">
        <v>1410</v>
      </c>
      <c r="F6997" s="4" t="s">
        <v>1410</v>
      </c>
    </row>
    <row r="6998" spans="1:6" x14ac:dyDescent="0.25">
      <c r="A6998" s="4" t="str">
        <f>CONCATENATE("3071-0000-2219","")</f>
        <v>3071-0000-2219</v>
      </c>
      <c r="B6998" s="4" t="s">
        <v>3716</v>
      </c>
      <c r="C6998" s="5">
        <v>41489</v>
      </c>
      <c r="D6998" s="5">
        <v>41549</v>
      </c>
      <c r="E6998" s="4" t="s">
        <v>2944</v>
      </c>
      <c r="F6998" s="4" t="s">
        <v>2945</v>
      </c>
    </row>
    <row r="6999" spans="1:6" x14ac:dyDescent="0.25">
      <c r="A6999" s="4" t="str">
        <f>CONCATENATE("3071-0000-2745","")</f>
        <v>3071-0000-2745</v>
      </c>
      <c r="B6999" s="4" t="s">
        <v>842</v>
      </c>
      <c r="C6999" s="5">
        <v>41489</v>
      </c>
      <c r="D6999" s="5">
        <v>41549</v>
      </c>
      <c r="E6999" s="4" t="s">
        <v>7</v>
      </c>
      <c r="F6999" s="4" t="s">
        <v>808</v>
      </c>
    </row>
    <row r="7000" spans="1:6" x14ac:dyDescent="0.25">
      <c r="A7000" s="4" t="str">
        <f>CONCATENATE("3071-0000-4622","")</f>
        <v>3071-0000-4622</v>
      </c>
      <c r="B7000" s="4" t="s">
        <v>9473</v>
      </c>
      <c r="C7000" s="5">
        <v>41489</v>
      </c>
      <c r="D7000" s="5">
        <v>41549</v>
      </c>
      <c r="E7000" s="4" t="s">
        <v>1410</v>
      </c>
      <c r="F7000" s="4" t="s">
        <v>8696</v>
      </c>
    </row>
    <row r="7001" spans="1:6" x14ac:dyDescent="0.25">
      <c r="A7001" s="4" t="str">
        <f>CONCATENATE("3071-0000-6509","")</f>
        <v>3071-0000-6509</v>
      </c>
      <c r="B7001" s="4" t="s">
        <v>7929</v>
      </c>
      <c r="C7001" s="5">
        <v>41489</v>
      </c>
      <c r="D7001" s="5">
        <v>41549</v>
      </c>
      <c r="E7001" s="4" t="s">
        <v>5185</v>
      </c>
      <c r="F7001" s="4" t="s">
        <v>5185</v>
      </c>
    </row>
    <row r="7002" spans="1:6" x14ac:dyDescent="0.25">
      <c r="A7002" s="4" t="str">
        <f>CONCATENATE("3071-0000-6505","")</f>
        <v>3071-0000-6505</v>
      </c>
      <c r="B7002" s="4" t="s">
        <v>7925</v>
      </c>
      <c r="C7002" s="5">
        <v>41489</v>
      </c>
      <c r="D7002" s="5">
        <v>41549</v>
      </c>
      <c r="E7002" s="4" t="s">
        <v>5185</v>
      </c>
      <c r="F7002" s="4" t="s">
        <v>5185</v>
      </c>
    </row>
    <row r="7003" spans="1:6" x14ac:dyDescent="0.25">
      <c r="A7003" s="4" t="str">
        <f>CONCATENATE("3071-0000-0397","")</f>
        <v>3071-0000-0397</v>
      </c>
      <c r="B7003" s="4" t="s">
        <v>164</v>
      </c>
      <c r="C7003" s="5">
        <v>41489</v>
      </c>
      <c r="D7003" s="5">
        <v>41549</v>
      </c>
      <c r="E7003" s="4" t="s">
        <v>7</v>
      </c>
      <c r="F7003" s="4" t="s">
        <v>7</v>
      </c>
    </row>
    <row r="7004" spans="1:6" x14ac:dyDescent="0.25">
      <c r="A7004" s="4" t="str">
        <f>CONCATENATE("3071-0000-4869","")</f>
        <v>3071-0000-4869</v>
      </c>
      <c r="B7004" s="4" t="s">
        <v>9460</v>
      </c>
      <c r="C7004" s="5">
        <v>41489</v>
      </c>
      <c r="D7004" s="5">
        <v>41549</v>
      </c>
      <c r="E7004" s="4" t="s">
        <v>7069</v>
      </c>
      <c r="F7004" s="4" t="s">
        <v>9210</v>
      </c>
    </row>
    <row r="7005" spans="1:6" x14ac:dyDescent="0.25">
      <c r="A7005" s="4" t="str">
        <f>CONCATENATE("3071-0000-6504","")</f>
        <v>3071-0000-6504</v>
      </c>
      <c r="B7005" s="4" t="s">
        <v>7924</v>
      </c>
      <c r="C7005" s="5">
        <v>41489</v>
      </c>
      <c r="D7005" s="5">
        <v>41549</v>
      </c>
      <c r="E7005" s="4" t="s">
        <v>5185</v>
      </c>
      <c r="F7005" s="4" t="s">
        <v>5185</v>
      </c>
    </row>
    <row r="7006" spans="1:6" x14ac:dyDescent="0.25">
      <c r="A7006" s="4" t="str">
        <f>CONCATENATE("3071-0000-2794","")</f>
        <v>3071-0000-2794</v>
      </c>
      <c r="B7006" s="4" t="s">
        <v>993</v>
      </c>
      <c r="C7006" s="5">
        <v>41489</v>
      </c>
      <c r="D7006" s="5">
        <v>41549</v>
      </c>
      <c r="E7006" s="4" t="s">
        <v>7</v>
      </c>
      <c r="F7006" s="4" t="s">
        <v>808</v>
      </c>
    </row>
    <row r="7007" spans="1:6" x14ac:dyDescent="0.25">
      <c r="A7007" s="4" t="str">
        <f>CONCATENATE("3071-0000-7655","")</f>
        <v>3071-0000-7655</v>
      </c>
      <c r="B7007" s="4" t="s">
        <v>5151</v>
      </c>
      <c r="C7007" s="5">
        <v>41489</v>
      </c>
      <c r="D7007" s="5">
        <v>41549</v>
      </c>
      <c r="E7007" s="4" t="s">
        <v>1410</v>
      </c>
      <c r="F7007" s="4" t="s">
        <v>4616</v>
      </c>
    </row>
    <row r="7008" spans="1:6" x14ac:dyDescent="0.25">
      <c r="A7008" s="4" t="str">
        <f>CONCATENATE("3071-0000-4626","")</f>
        <v>3071-0000-4626</v>
      </c>
      <c r="B7008" s="4" t="s">
        <v>9478</v>
      </c>
      <c r="C7008" s="5">
        <v>41489</v>
      </c>
      <c r="D7008" s="5">
        <v>41549</v>
      </c>
      <c r="E7008" s="4" t="s">
        <v>1410</v>
      </c>
      <c r="F7008" s="4" t="s">
        <v>8696</v>
      </c>
    </row>
    <row r="7009" spans="1:6" x14ac:dyDescent="0.25">
      <c r="A7009" s="4" t="str">
        <f>CONCATENATE("3071-0000-6728","")</f>
        <v>3071-0000-6728</v>
      </c>
      <c r="B7009" s="4" t="s">
        <v>8139</v>
      </c>
      <c r="C7009" s="5">
        <v>41489</v>
      </c>
      <c r="D7009" s="5">
        <v>41549</v>
      </c>
      <c r="E7009" s="4" t="s">
        <v>5185</v>
      </c>
      <c r="F7009" s="4" t="s">
        <v>5185</v>
      </c>
    </row>
    <row r="7010" spans="1:6" x14ac:dyDescent="0.25">
      <c r="A7010" s="4" t="str">
        <f>CONCATENATE("3071-0000-4999","")</f>
        <v>3071-0000-4999</v>
      </c>
      <c r="B7010" s="4" t="s">
        <v>9402</v>
      </c>
      <c r="C7010" s="5">
        <v>41489</v>
      </c>
      <c r="D7010" s="5">
        <v>41549</v>
      </c>
      <c r="E7010" s="4" t="s">
        <v>7069</v>
      </c>
      <c r="F7010" s="4" t="s">
        <v>9210</v>
      </c>
    </row>
    <row r="7011" spans="1:6" x14ac:dyDescent="0.25">
      <c r="A7011" s="4" t="str">
        <f>CONCATENATE("3071-0000-4623","")</f>
        <v>3071-0000-4623</v>
      </c>
      <c r="B7011" s="4" t="s">
        <v>9474</v>
      </c>
      <c r="C7011" s="5">
        <v>41489</v>
      </c>
      <c r="D7011" s="5">
        <v>41549</v>
      </c>
      <c r="E7011" s="4" t="s">
        <v>1410</v>
      </c>
      <c r="F7011" s="4" t="s">
        <v>8696</v>
      </c>
    </row>
    <row r="7012" spans="1:6" x14ac:dyDescent="0.25">
      <c r="A7012" s="4" t="str">
        <f>CONCATENATE("3071-0000-0173","")</f>
        <v>3071-0000-0173</v>
      </c>
      <c r="B7012" s="4" t="s">
        <v>364</v>
      </c>
      <c r="C7012" s="5">
        <v>41489</v>
      </c>
      <c r="D7012" s="5">
        <v>41549</v>
      </c>
      <c r="E7012" s="4" t="s">
        <v>7</v>
      </c>
      <c r="F7012" s="4" t="s">
        <v>7</v>
      </c>
    </row>
    <row r="7013" spans="1:6" x14ac:dyDescent="0.25">
      <c r="A7013" s="4" t="str">
        <f>CONCATENATE("3071-0000-2551","")</f>
        <v>3071-0000-2551</v>
      </c>
      <c r="B7013" s="4" t="s">
        <v>2961</v>
      </c>
      <c r="C7013" s="5">
        <v>41489</v>
      </c>
      <c r="D7013" s="5">
        <v>41549</v>
      </c>
      <c r="E7013" s="4" t="s">
        <v>2944</v>
      </c>
      <c r="F7013" s="4" t="s">
        <v>2949</v>
      </c>
    </row>
    <row r="7014" spans="1:6" x14ac:dyDescent="0.25">
      <c r="A7014" s="4" t="str">
        <f>CONCATENATE("3071-0000-1899","")</f>
        <v>3071-0000-1899</v>
      </c>
      <c r="B7014" s="4" t="s">
        <v>2984</v>
      </c>
      <c r="C7014" s="5">
        <v>41489</v>
      </c>
      <c r="D7014" s="5">
        <v>41549</v>
      </c>
      <c r="E7014" s="4" t="s">
        <v>2944</v>
      </c>
      <c r="F7014" s="4" t="s">
        <v>2945</v>
      </c>
    </row>
    <row r="7015" spans="1:6" x14ac:dyDescent="0.25">
      <c r="A7015" s="4" t="str">
        <f>CONCATENATE("3071-0000-2307","")</f>
        <v>3071-0000-2307</v>
      </c>
      <c r="B7015" s="4" t="s">
        <v>3197</v>
      </c>
      <c r="C7015" s="5">
        <v>41489</v>
      </c>
      <c r="D7015" s="5">
        <v>41549</v>
      </c>
      <c r="E7015" s="4" t="s">
        <v>2944</v>
      </c>
      <c r="F7015" s="4" t="s">
        <v>2945</v>
      </c>
    </row>
    <row r="7016" spans="1:6" x14ac:dyDescent="0.25">
      <c r="A7016" s="4" t="str">
        <f>CONCATENATE("3071-0000-0393","")</f>
        <v>3071-0000-0393</v>
      </c>
      <c r="B7016" s="4" t="s">
        <v>35</v>
      </c>
      <c r="C7016" s="5">
        <v>41489</v>
      </c>
      <c r="D7016" s="5">
        <v>41549</v>
      </c>
      <c r="E7016" s="4" t="s">
        <v>7</v>
      </c>
      <c r="F7016" s="4" t="s">
        <v>7</v>
      </c>
    </row>
    <row r="7017" spans="1:6" x14ac:dyDescent="0.25">
      <c r="A7017" s="4" t="str">
        <f>CONCATENATE("3071-0000-6968","")</f>
        <v>3071-0000-6968</v>
      </c>
      <c r="B7017" s="4" t="s">
        <v>4449</v>
      </c>
      <c r="C7017" s="5">
        <v>41489</v>
      </c>
      <c r="D7017" s="5">
        <v>41549</v>
      </c>
      <c r="E7017" s="4" t="s">
        <v>1410</v>
      </c>
      <c r="F7017" s="4" t="s">
        <v>1410</v>
      </c>
    </row>
    <row r="7018" spans="1:6" x14ac:dyDescent="0.25">
      <c r="A7018" s="4" t="str">
        <f>CONCATENATE("3071-0000-1364","")</f>
        <v>3071-0000-1364</v>
      </c>
      <c r="B7018" s="4" t="s">
        <v>2515</v>
      </c>
      <c r="C7018" s="5">
        <v>41489</v>
      </c>
      <c r="D7018" s="5">
        <v>41549</v>
      </c>
      <c r="E7018" s="4" t="s">
        <v>1381</v>
      </c>
      <c r="F7018" s="4" t="s">
        <v>2303</v>
      </c>
    </row>
    <row r="7019" spans="1:6" x14ac:dyDescent="0.25">
      <c r="A7019" s="4" t="str">
        <f>CONCATENATE("3071-0000-3621","")</f>
        <v>3071-0000-3621</v>
      </c>
      <c r="B7019" s="4" t="s">
        <v>1629</v>
      </c>
      <c r="C7019" s="5">
        <v>41489</v>
      </c>
      <c r="D7019" s="5">
        <v>41549</v>
      </c>
      <c r="E7019" s="4" t="s">
        <v>1410</v>
      </c>
      <c r="F7019" s="4" t="s">
        <v>1410</v>
      </c>
    </row>
    <row r="7020" spans="1:6" x14ac:dyDescent="0.25">
      <c r="A7020" s="4" t="str">
        <f>CONCATENATE("3071-0000-5605","")</f>
        <v>3071-0000-5605</v>
      </c>
      <c r="B7020" s="4" t="s">
        <v>7163</v>
      </c>
      <c r="C7020" s="5">
        <v>41489</v>
      </c>
      <c r="D7020" s="5">
        <v>41549</v>
      </c>
      <c r="E7020" s="4" t="s">
        <v>5185</v>
      </c>
      <c r="F7020" s="4" t="s">
        <v>5185</v>
      </c>
    </row>
    <row r="7021" spans="1:6" x14ac:dyDescent="0.25">
      <c r="A7021" s="4" t="str">
        <f>CONCATENATE("3071-0000-2208","")</f>
        <v>3071-0000-2208</v>
      </c>
      <c r="B7021" s="4" t="s">
        <v>3034</v>
      </c>
      <c r="C7021" s="5">
        <v>41489</v>
      </c>
      <c r="D7021" s="5">
        <v>41549</v>
      </c>
      <c r="E7021" s="4" t="s">
        <v>2944</v>
      </c>
      <c r="F7021" s="4" t="s">
        <v>2945</v>
      </c>
    </row>
    <row r="7022" spans="1:6" x14ac:dyDescent="0.25">
      <c r="A7022" s="4" t="str">
        <f>CONCATENATE("3071-0000-2476","")</f>
        <v>3071-0000-2476</v>
      </c>
      <c r="B7022" s="4" t="s">
        <v>3638</v>
      </c>
      <c r="C7022" s="5">
        <v>41489</v>
      </c>
      <c r="D7022" s="5">
        <v>41549</v>
      </c>
      <c r="E7022" s="4" t="s">
        <v>2944</v>
      </c>
      <c r="F7022" s="4" t="s">
        <v>3567</v>
      </c>
    </row>
    <row r="7023" spans="1:6" x14ac:dyDescent="0.25">
      <c r="A7023" s="4" t="str">
        <f>CONCATENATE("3071-0000-2271","")</f>
        <v>3071-0000-2271</v>
      </c>
      <c r="B7023" s="4" t="s">
        <v>3777</v>
      </c>
      <c r="C7023" s="5">
        <v>41489</v>
      </c>
      <c r="D7023" s="5">
        <v>41549</v>
      </c>
      <c r="E7023" s="4" t="s">
        <v>2944</v>
      </c>
      <c r="F7023" s="4" t="s">
        <v>2945</v>
      </c>
    </row>
    <row r="7024" spans="1:6" x14ac:dyDescent="0.25">
      <c r="A7024" s="4" t="str">
        <f>CONCATENATE("3071-0000-5537","")</f>
        <v>3071-0000-5537</v>
      </c>
      <c r="B7024" s="4" t="s">
        <v>7363</v>
      </c>
      <c r="C7024" s="5">
        <v>41489</v>
      </c>
      <c r="D7024" s="5">
        <v>41549</v>
      </c>
      <c r="E7024" s="4" t="s">
        <v>5185</v>
      </c>
      <c r="F7024" s="4" t="s">
        <v>5185</v>
      </c>
    </row>
    <row r="7025" spans="1:6" x14ac:dyDescent="0.25">
      <c r="A7025" s="4" t="str">
        <f>CONCATENATE("3071-0000-6154","")</f>
        <v>3071-0000-6154</v>
      </c>
      <c r="B7025" s="4" t="s">
        <v>7730</v>
      </c>
      <c r="C7025" s="5">
        <v>41489</v>
      </c>
      <c r="D7025" s="5">
        <v>41549</v>
      </c>
      <c r="E7025" s="4" t="s">
        <v>1410</v>
      </c>
      <c r="F7025" s="4" t="s">
        <v>1410</v>
      </c>
    </row>
    <row r="7026" spans="1:6" x14ac:dyDescent="0.25">
      <c r="A7026" s="4" t="str">
        <f>CONCATENATE("3071-0000-5333","")</f>
        <v>3071-0000-5333</v>
      </c>
      <c r="B7026" s="4" t="s">
        <v>6815</v>
      </c>
      <c r="C7026" s="5">
        <v>41489</v>
      </c>
      <c r="D7026" s="5">
        <v>41549</v>
      </c>
      <c r="E7026" s="4" t="s">
        <v>5185</v>
      </c>
      <c r="F7026" s="4" t="s">
        <v>5185</v>
      </c>
    </row>
    <row r="7027" spans="1:6" x14ac:dyDescent="0.25">
      <c r="A7027" s="4" t="str">
        <f>CONCATENATE("3071-0000-4927","")</f>
        <v>3071-0000-4927</v>
      </c>
      <c r="B7027" s="4" t="s">
        <v>8761</v>
      </c>
      <c r="C7027" s="5">
        <v>41489</v>
      </c>
      <c r="D7027" s="5">
        <v>41549</v>
      </c>
      <c r="E7027" s="4" t="s">
        <v>1410</v>
      </c>
      <c r="F7027" s="4" t="s">
        <v>8696</v>
      </c>
    </row>
    <row r="7028" spans="1:6" x14ac:dyDescent="0.25">
      <c r="A7028" s="4" t="str">
        <f>CONCATENATE("3071-0000-9049","")</f>
        <v>3071-0000-9049</v>
      </c>
      <c r="B7028" s="4" t="s">
        <v>5305</v>
      </c>
      <c r="C7028" s="5">
        <v>41489</v>
      </c>
      <c r="D7028" s="5">
        <v>41549</v>
      </c>
      <c r="E7028" s="4" t="s">
        <v>5185</v>
      </c>
      <c r="F7028" s="4" t="s">
        <v>5292</v>
      </c>
    </row>
    <row r="7029" spans="1:6" x14ac:dyDescent="0.25">
      <c r="A7029" s="4" t="str">
        <f>CONCATENATE("3071-0000-4859","")</f>
        <v>3071-0000-4859</v>
      </c>
      <c r="B7029" s="4" t="s">
        <v>8749</v>
      </c>
      <c r="C7029" s="5">
        <v>41489</v>
      </c>
      <c r="D7029" s="5">
        <v>41549</v>
      </c>
      <c r="E7029" s="4" t="s">
        <v>1410</v>
      </c>
      <c r="F7029" s="4" t="s">
        <v>8696</v>
      </c>
    </row>
    <row r="7030" spans="1:6" x14ac:dyDescent="0.25">
      <c r="A7030" s="4" t="str">
        <f>CONCATENATE("3071-0000-7538","")</f>
        <v>3071-0000-7538</v>
      </c>
      <c r="B7030" s="4" t="s">
        <v>4747</v>
      </c>
      <c r="C7030" s="5">
        <v>41489</v>
      </c>
      <c r="D7030" s="5">
        <v>41549</v>
      </c>
      <c r="E7030" s="4" t="s">
        <v>1410</v>
      </c>
      <c r="F7030" s="4" t="s">
        <v>4655</v>
      </c>
    </row>
    <row r="7031" spans="1:6" x14ac:dyDescent="0.25">
      <c r="A7031" s="4" t="str">
        <f>CONCATENATE("3071-0000-4318","")</f>
        <v>3071-0000-4318</v>
      </c>
      <c r="B7031" s="4" t="s">
        <v>8866</v>
      </c>
      <c r="C7031" s="5">
        <v>41489</v>
      </c>
      <c r="D7031" s="5">
        <v>41549</v>
      </c>
      <c r="E7031" s="4" t="s">
        <v>1410</v>
      </c>
      <c r="F7031" s="4" t="s">
        <v>8696</v>
      </c>
    </row>
    <row r="7032" spans="1:6" x14ac:dyDescent="0.25">
      <c r="A7032" s="4" t="str">
        <f>CONCATENATE("3071-0000-7446","")</f>
        <v>3071-0000-7446</v>
      </c>
      <c r="B7032" s="4" t="s">
        <v>4662</v>
      </c>
      <c r="C7032" s="5">
        <v>41489</v>
      </c>
      <c r="D7032" s="5">
        <v>41549</v>
      </c>
      <c r="E7032" s="4" t="s">
        <v>1410</v>
      </c>
      <c r="F7032" s="4" t="s">
        <v>1410</v>
      </c>
    </row>
    <row r="7033" spans="1:6" x14ac:dyDescent="0.25">
      <c r="A7033" s="4" t="str">
        <f>CONCATENATE("3071-0000-3632","")</f>
        <v>3071-0000-3632</v>
      </c>
      <c r="B7033" s="4" t="s">
        <v>1637</v>
      </c>
      <c r="C7033" s="5">
        <v>41489</v>
      </c>
      <c r="D7033" s="5">
        <v>41549</v>
      </c>
      <c r="E7033" s="4" t="s">
        <v>1410</v>
      </c>
      <c r="F7033" s="4" t="s">
        <v>1410</v>
      </c>
    </row>
    <row r="7034" spans="1:6" x14ac:dyDescent="0.25">
      <c r="A7034" s="4" t="str">
        <f>CONCATENATE("3071-0000-6803","")</f>
        <v>3071-0000-6803</v>
      </c>
      <c r="B7034" s="4" t="s">
        <v>7908</v>
      </c>
      <c r="C7034" s="5">
        <v>41489</v>
      </c>
      <c r="D7034" s="5">
        <v>41549</v>
      </c>
      <c r="E7034" s="4" t="s">
        <v>1410</v>
      </c>
      <c r="F7034" s="4" t="s">
        <v>4655</v>
      </c>
    </row>
    <row r="7035" spans="1:6" x14ac:dyDescent="0.25">
      <c r="A7035" s="4" t="str">
        <f>CONCATENATE("3071-0000-6403","")</f>
        <v>3071-0000-6403</v>
      </c>
      <c r="B7035" s="4" t="s">
        <v>7844</v>
      </c>
      <c r="C7035" s="5">
        <v>41489</v>
      </c>
      <c r="D7035" s="5">
        <v>41549</v>
      </c>
      <c r="E7035" s="4" t="s">
        <v>5185</v>
      </c>
      <c r="F7035" s="4" t="s">
        <v>5185</v>
      </c>
    </row>
    <row r="7036" spans="1:6" x14ac:dyDescent="0.25">
      <c r="A7036" s="4" t="str">
        <f>CONCATENATE("3071-0000-0205","")</f>
        <v>3071-0000-0205</v>
      </c>
      <c r="B7036" s="4" t="s">
        <v>51</v>
      </c>
      <c r="C7036" s="5">
        <v>41489</v>
      </c>
      <c r="D7036" s="5">
        <v>41549</v>
      </c>
      <c r="E7036" s="4" t="s">
        <v>7</v>
      </c>
      <c r="F7036" s="4" t="s">
        <v>7</v>
      </c>
    </row>
    <row r="7037" spans="1:6" x14ac:dyDescent="0.25">
      <c r="A7037" s="4" t="str">
        <f>CONCATENATE("3071-0000-7381","")</f>
        <v>3071-0000-7381</v>
      </c>
      <c r="B7037" s="4" t="s">
        <v>4324</v>
      </c>
      <c r="C7037" s="5">
        <v>41489</v>
      </c>
      <c r="D7037" s="5">
        <v>41549</v>
      </c>
      <c r="E7037" s="4" t="s">
        <v>1410</v>
      </c>
      <c r="F7037" s="4" t="s">
        <v>1410</v>
      </c>
    </row>
    <row r="7038" spans="1:6" x14ac:dyDescent="0.25">
      <c r="A7038" s="4" t="str">
        <f>CONCATENATE("3071-0000-4255","")</f>
        <v>3071-0000-4255</v>
      </c>
      <c r="B7038" s="4" t="s">
        <v>8832</v>
      </c>
      <c r="C7038" s="5">
        <v>41489</v>
      </c>
      <c r="D7038" s="5">
        <v>41549</v>
      </c>
      <c r="E7038" s="4" t="s">
        <v>1410</v>
      </c>
      <c r="F7038" s="4" t="s">
        <v>8696</v>
      </c>
    </row>
    <row r="7039" spans="1:6" x14ac:dyDescent="0.25">
      <c r="A7039" s="4" t="str">
        <f>CONCATENATE("3071-0000-8030","")</f>
        <v>3071-0000-8030</v>
      </c>
      <c r="B7039" s="4" t="s">
        <v>5689</v>
      </c>
      <c r="C7039" s="5">
        <v>41489</v>
      </c>
      <c r="D7039" s="5">
        <v>41549</v>
      </c>
      <c r="E7039" s="4" t="s">
        <v>5185</v>
      </c>
      <c r="F7039" s="4" t="s">
        <v>5185</v>
      </c>
    </row>
    <row r="7040" spans="1:6" x14ac:dyDescent="0.25">
      <c r="A7040" s="4" t="str">
        <f>CONCATENATE("3071-0000-5809","")</f>
        <v>3071-0000-5809</v>
      </c>
      <c r="B7040" s="4" t="s">
        <v>7026</v>
      </c>
      <c r="C7040" s="5">
        <v>41489</v>
      </c>
      <c r="D7040" s="5">
        <v>41549</v>
      </c>
      <c r="E7040" s="4" t="s">
        <v>5185</v>
      </c>
      <c r="F7040" s="4" t="s">
        <v>5185</v>
      </c>
    </row>
    <row r="7041" spans="1:6" x14ac:dyDescent="0.25">
      <c r="A7041" s="4" t="str">
        <f>CONCATENATE("3071-0000-2386","")</f>
        <v>3071-0000-2386</v>
      </c>
      <c r="B7041" s="4" t="s">
        <v>3584</v>
      </c>
      <c r="C7041" s="5">
        <v>41489</v>
      </c>
      <c r="D7041" s="5">
        <v>41549</v>
      </c>
      <c r="E7041" s="4" t="s">
        <v>2944</v>
      </c>
      <c r="F7041" s="4" t="s">
        <v>3567</v>
      </c>
    </row>
    <row r="7042" spans="1:6" x14ac:dyDescent="0.25">
      <c r="A7042" s="4" t="str">
        <f>CONCATENATE("3071-0000-6954","")</f>
        <v>3071-0000-6954</v>
      </c>
      <c r="B7042" s="4" t="s">
        <v>4536</v>
      </c>
      <c r="C7042" s="5">
        <v>41489</v>
      </c>
      <c r="D7042" s="5">
        <v>41549</v>
      </c>
      <c r="E7042" s="4" t="s">
        <v>1410</v>
      </c>
      <c r="F7042" s="4" t="s">
        <v>1410</v>
      </c>
    </row>
    <row r="7043" spans="1:6" x14ac:dyDescent="0.25">
      <c r="A7043" s="4" t="str">
        <f>CONCATENATE("3071-0000-3537","")</f>
        <v>3071-0000-3537</v>
      </c>
      <c r="B7043" s="4" t="s">
        <v>1540</v>
      </c>
      <c r="C7043" s="5">
        <v>41489</v>
      </c>
      <c r="D7043" s="5">
        <v>41549</v>
      </c>
      <c r="E7043" s="4" t="s">
        <v>1410</v>
      </c>
      <c r="F7043" s="4" t="s">
        <v>1411</v>
      </c>
    </row>
    <row r="7044" spans="1:6" x14ac:dyDescent="0.25">
      <c r="A7044" s="4" t="str">
        <f>CONCATENATE("3071-0000-3371","")</f>
        <v>3071-0000-3371</v>
      </c>
      <c r="B7044" s="4" t="s">
        <v>1512</v>
      </c>
      <c r="C7044" s="5">
        <v>41489</v>
      </c>
      <c r="D7044" s="5">
        <v>41549</v>
      </c>
      <c r="E7044" s="4" t="s">
        <v>1410</v>
      </c>
      <c r="F7044" s="4" t="s">
        <v>1411</v>
      </c>
    </row>
    <row r="7045" spans="1:6" x14ac:dyDescent="0.25">
      <c r="A7045" s="4" t="str">
        <f>CONCATENATE("3071-0000-8016","")</f>
        <v>3071-0000-8016</v>
      </c>
      <c r="B7045" s="4" t="s">
        <v>5638</v>
      </c>
      <c r="C7045" s="5">
        <v>41489</v>
      </c>
      <c r="D7045" s="5">
        <v>41549</v>
      </c>
      <c r="E7045" s="4" t="s">
        <v>5185</v>
      </c>
      <c r="F7045" s="4" t="s">
        <v>5185</v>
      </c>
    </row>
    <row r="7046" spans="1:6" x14ac:dyDescent="0.25">
      <c r="A7046" s="4" t="str">
        <f>CONCATENATE("3071-0000-1991","")</f>
        <v>3071-0000-1991</v>
      </c>
      <c r="B7046" s="4" t="s">
        <v>3137</v>
      </c>
      <c r="C7046" s="5">
        <v>41489</v>
      </c>
      <c r="D7046" s="5">
        <v>41549</v>
      </c>
      <c r="E7046" s="4" t="s">
        <v>2944</v>
      </c>
      <c r="F7046" s="4" t="s">
        <v>2945</v>
      </c>
    </row>
    <row r="7047" spans="1:6" x14ac:dyDescent="0.25">
      <c r="A7047" s="4" t="str">
        <f>CONCATENATE("3071-0000-6199","")</f>
        <v>3071-0000-6199</v>
      </c>
      <c r="B7047" s="4" t="s">
        <v>7492</v>
      </c>
      <c r="C7047" s="5">
        <v>41489</v>
      </c>
      <c r="D7047" s="5">
        <v>41549</v>
      </c>
      <c r="E7047" s="4" t="s">
        <v>1410</v>
      </c>
      <c r="F7047" s="4" t="s">
        <v>1410</v>
      </c>
    </row>
    <row r="7048" spans="1:6" x14ac:dyDescent="0.25">
      <c r="A7048" s="4" t="str">
        <f>CONCATENATE("3071-0000-1375","")</f>
        <v>3071-0000-1375</v>
      </c>
      <c r="B7048" s="4" t="s">
        <v>2546</v>
      </c>
      <c r="C7048" s="5">
        <v>41489</v>
      </c>
      <c r="D7048" s="5">
        <v>41549</v>
      </c>
      <c r="E7048" s="4" t="s">
        <v>1381</v>
      </c>
      <c r="F7048" s="4" t="s">
        <v>2303</v>
      </c>
    </row>
    <row r="7049" spans="1:6" x14ac:dyDescent="0.25">
      <c r="A7049" s="4" t="str">
        <f>CONCATENATE("3071-0000-7616","")</f>
        <v>3071-0000-7616</v>
      </c>
      <c r="B7049" s="4" t="s">
        <v>4632</v>
      </c>
      <c r="C7049" s="5">
        <v>41489</v>
      </c>
      <c r="D7049" s="5">
        <v>41549</v>
      </c>
      <c r="E7049" s="4" t="s">
        <v>1410</v>
      </c>
      <c r="F7049" s="4" t="s">
        <v>1410</v>
      </c>
    </row>
    <row r="7050" spans="1:6" x14ac:dyDescent="0.25">
      <c r="A7050" s="4" t="str">
        <f>CONCATENATE("3071-0000-6758","")</f>
        <v>3071-0000-6758</v>
      </c>
      <c r="B7050" s="4" t="s">
        <v>7943</v>
      </c>
      <c r="C7050" s="5">
        <v>41489</v>
      </c>
      <c r="D7050" s="5">
        <v>41549</v>
      </c>
      <c r="E7050" s="4" t="s">
        <v>1410</v>
      </c>
      <c r="F7050" s="4" t="s">
        <v>4655</v>
      </c>
    </row>
    <row r="7051" spans="1:6" x14ac:dyDescent="0.25">
      <c r="A7051" s="4" t="str">
        <f>CONCATENATE("3071-0000-5897","")</f>
        <v>3071-0000-5897</v>
      </c>
      <c r="B7051" s="4" t="s">
        <v>7587</v>
      </c>
      <c r="C7051" s="5">
        <v>41489</v>
      </c>
      <c r="D7051" s="5">
        <v>41549</v>
      </c>
      <c r="E7051" s="4" t="s">
        <v>5185</v>
      </c>
      <c r="F7051" s="4" t="s">
        <v>5185</v>
      </c>
    </row>
    <row r="7052" spans="1:6" x14ac:dyDescent="0.25">
      <c r="A7052" s="4" t="str">
        <f>CONCATENATE("3071-0000-4100","")</f>
        <v>3071-0000-4100</v>
      </c>
      <c r="B7052" s="4" t="s">
        <v>4158</v>
      </c>
      <c r="C7052" s="5">
        <v>41489</v>
      </c>
      <c r="D7052" s="5">
        <v>41549</v>
      </c>
      <c r="E7052" s="4" t="s">
        <v>7</v>
      </c>
      <c r="F7052" s="4" t="s">
        <v>1419</v>
      </c>
    </row>
    <row r="7053" spans="1:6" x14ac:dyDescent="0.25">
      <c r="A7053" s="4" t="str">
        <f>CONCATENATE("3071-0000-7269","")</f>
        <v>3071-0000-7269</v>
      </c>
      <c r="B7053" s="4" t="s">
        <v>5097</v>
      </c>
      <c r="C7053" s="5">
        <v>41489</v>
      </c>
      <c r="D7053" s="5">
        <v>41549</v>
      </c>
      <c r="E7053" s="4" t="s">
        <v>1410</v>
      </c>
      <c r="F7053" s="4" t="s">
        <v>1410</v>
      </c>
    </row>
    <row r="7054" spans="1:6" x14ac:dyDescent="0.25">
      <c r="A7054" s="4" t="str">
        <f>CONCATENATE("3071-0000-3751","")</f>
        <v>3071-0000-3751</v>
      </c>
      <c r="B7054" s="4" t="s">
        <v>1558</v>
      </c>
      <c r="C7054" s="5">
        <v>41489</v>
      </c>
      <c r="D7054" s="5">
        <v>41549</v>
      </c>
      <c r="E7054" s="4" t="s">
        <v>1410</v>
      </c>
      <c r="F7054" s="4" t="s">
        <v>1411</v>
      </c>
    </row>
    <row r="7055" spans="1:6" x14ac:dyDescent="0.25">
      <c r="A7055" s="4" t="str">
        <f>CONCATENATE("3071-0000-0264","")</f>
        <v>3071-0000-0264</v>
      </c>
      <c r="B7055" s="4" t="s">
        <v>609</v>
      </c>
      <c r="C7055" s="5">
        <v>41489</v>
      </c>
      <c r="D7055" s="5">
        <v>41549</v>
      </c>
      <c r="E7055" s="4" t="s">
        <v>7</v>
      </c>
      <c r="F7055" s="4" t="s">
        <v>7</v>
      </c>
    </row>
    <row r="7056" spans="1:6" x14ac:dyDescent="0.25">
      <c r="A7056" s="4" t="str">
        <f>CONCATENATE("3071-0000-3582","")</f>
        <v>3071-0000-3582</v>
      </c>
      <c r="B7056" s="4" t="s">
        <v>1705</v>
      </c>
      <c r="C7056" s="5">
        <v>41489</v>
      </c>
      <c r="D7056" s="5">
        <v>41549</v>
      </c>
      <c r="E7056" s="4" t="s">
        <v>1410</v>
      </c>
      <c r="F7056" s="4" t="s">
        <v>1411</v>
      </c>
    </row>
    <row r="7057" spans="1:6" x14ac:dyDescent="0.25">
      <c r="A7057" s="4" t="str">
        <f>CONCATENATE("3071-0000-2116","")</f>
        <v>3071-0000-2116</v>
      </c>
      <c r="B7057" s="4" t="s">
        <v>3516</v>
      </c>
      <c r="C7057" s="5">
        <v>41489</v>
      </c>
      <c r="D7057" s="5">
        <v>41549</v>
      </c>
      <c r="E7057" s="4" t="s">
        <v>2944</v>
      </c>
      <c r="F7057" s="4" t="s">
        <v>2945</v>
      </c>
    </row>
    <row r="7058" spans="1:6" x14ac:dyDescent="0.25">
      <c r="A7058" s="4" t="str">
        <f>CONCATENATE("3071-0000-2629","")</f>
        <v>3071-0000-2629</v>
      </c>
      <c r="B7058" s="4" t="s">
        <v>3442</v>
      </c>
      <c r="C7058" s="5">
        <v>41489</v>
      </c>
      <c r="D7058" s="5">
        <v>41549</v>
      </c>
      <c r="E7058" s="4" t="s">
        <v>2944</v>
      </c>
      <c r="F7058" s="4" t="s">
        <v>3434</v>
      </c>
    </row>
    <row r="7059" spans="1:6" x14ac:dyDescent="0.25">
      <c r="A7059" s="4" t="str">
        <f>CONCATENATE("3071-0000-4168","")</f>
        <v>3071-0000-4168</v>
      </c>
      <c r="B7059" s="4" t="s">
        <v>4025</v>
      </c>
      <c r="C7059" s="5">
        <v>41489</v>
      </c>
      <c r="D7059" s="5">
        <v>41549</v>
      </c>
      <c r="E7059" s="4" t="s">
        <v>1381</v>
      </c>
      <c r="F7059" s="4" t="s">
        <v>3994</v>
      </c>
    </row>
    <row r="7060" spans="1:6" x14ac:dyDescent="0.25">
      <c r="A7060" s="4" t="str">
        <f>CONCATENATE("3071-0000-1392","")</f>
        <v>3071-0000-1392</v>
      </c>
      <c r="B7060" s="4" t="s">
        <v>2572</v>
      </c>
      <c r="C7060" s="5">
        <v>41489</v>
      </c>
      <c r="D7060" s="5">
        <v>41549</v>
      </c>
      <c r="E7060" s="4" t="s">
        <v>1381</v>
      </c>
      <c r="F7060" s="4" t="s">
        <v>2303</v>
      </c>
    </row>
    <row r="7061" spans="1:6" x14ac:dyDescent="0.25">
      <c r="A7061" s="4" t="str">
        <f>CONCATENATE("3071-0000-4839","")</f>
        <v>3071-0000-4839</v>
      </c>
      <c r="B7061" s="4" t="s">
        <v>9444</v>
      </c>
      <c r="C7061" s="5">
        <v>41489</v>
      </c>
      <c r="D7061" s="5">
        <v>41549</v>
      </c>
      <c r="E7061" s="4" t="s">
        <v>1410</v>
      </c>
      <c r="F7061" s="4" t="s">
        <v>8696</v>
      </c>
    </row>
    <row r="7062" spans="1:6" x14ac:dyDescent="0.25">
      <c r="A7062" s="4" t="str">
        <f>CONCATENATE("3071-0000-2482","")</f>
        <v>3071-0000-2482</v>
      </c>
      <c r="B7062" s="4" t="s">
        <v>3604</v>
      </c>
      <c r="C7062" s="5">
        <v>41489</v>
      </c>
      <c r="D7062" s="5">
        <v>41549</v>
      </c>
      <c r="E7062" s="4" t="s">
        <v>2944</v>
      </c>
      <c r="F7062" s="4" t="s">
        <v>3593</v>
      </c>
    </row>
    <row r="7063" spans="1:6" x14ac:dyDescent="0.25">
      <c r="A7063" s="4" t="str">
        <f>CONCATENATE("3071-0000-3614","")</f>
        <v>3071-0000-3614</v>
      </c>
      <c r="B7063" s="4" t="s">
        <v>1488</v>
      </c>
      <c r="C7063" s="5">
        <v>41489</v>
      </c>
      <c r="D7063" s="5">
        <v>41549</v>
      </c>
      <c r="E7063" s="4" t="s">
        <v>7</v>
      </c>
      <c r="F7063" s="4" t="s">
        <v>7</v>
      </c>
    </row>
    <row r="7064" spans="1:6" x14ac:dyDescent="0.25">
      <c r="A7064" s="4" t="str">
        <f>CONCATENATE("3071-0000-8721","")</f>
        <v>3071-0000-8721</v>
      </c>
      <c r="B7064" s="4" t="s">
        <v>6350</v>
      </c>
      <c r="C7064" s="5">
        <v>41489</v>
      </c>
      <c r="D7064" s="5">
        <v>41549</v>
      </c>
      <c r="E7064" s="4" t="s">
        <v>5185</v>
      </c>
      <c r="F7064" s="4" t="s">
        <v>5292</v>
      </c>
    </row>
    <row r="7065" spans="1:6" x14ac:dyDescent="0.25">
      <c r="A7065" s="4" t="str">
        <f>CONCATENATE("3071-0000-4597","")</f>
        <v>3071-0000-4597</v>
      </c>
      <c r="B7065" s="4" t="s">
        <v>9119</v>
      </c>
      <c r="C7065" s="5">
        <v>41489</v>
      </c>
      <c r="D7065" s="5">
        <v>41549</v>
      </c>
      <c r="E7065" s="4" t="s">
        <v>1410</v>
      </c>
      <c r="F7065" s="4" t="s">
        <v>8696</v>
      </c>
    </row>
    <row r="7066" spans="1:6" x14ac:dyDescent="0.25">
      <c r="A7066" s="4" t="str">
        <f>CONCATENATE("3071-0000-5802","")</f>
        <v>3071-0000-5802</v>
      </c>
      <c r="B7066" s="4" t="s">
        <v>7030</v>
      </c>
      <c r="C7066" s="5">
        <v>41489</v>
      </c>
      <c r="D7066" s="5">
        <v>41549</v>
      </c>
      <c r="E7066" s="4" t="s">
        <v>1410</v>
      </c>
      <c r="F7066" s="4" t="s">
        <v>6798</v>
      </c>
    </row>
    <row r="7067" spans="1:6" x14ac:dyDescent="0.25">
      <c r="A7067" s="4" t="str">
        <f>CONCATENATE("3071-0000-7624","")</f>
        <v>3071-0000-7624</v>
      </c>
      <c r="B7067" s="4" t="s">
        <v>5149</v>
      </c>
      <c r="C7067" s="5">
        <v>41489</v>
      </c>
      <c r="D7067" s="5">
        <v>41549</v>
      </c>
      <c r="E7067" s="4" t="s">
        <v>1410</v>
      </c>
      <c r="F7067" s="4" t="s">
        <v>4616</v>
      </c>
    </row>
    <row r="7068" spans="1:6" x14ac:dyDescent="0.25">
      <c r="A7068" s="4" t="str">
        <f>CONCATENATE("3071-0000-5097","")</f>
        <v>3071-0000-5097</v>
      </c>
      <c r="B7068" s="4" t="s">
        <v>9446</v>
      </c>
      <c r="C7068" s="5">
        <v>41489</v>
      </c>
      <c r="D7068" s="5">
        <v>41549</v>
      </c>
      <c r="E7068" s="4" t="s">
        <v>7069</v>
      </c>
      <c r="F7068" s="4" t="s">
        <v>9210</v>
      </c>
    </row>
    <row r="7069" spans="1:6" x14ac:dyDescent="0.25">
      <c r="A7069" s="4" t="str">
        <f>CONCATENATE("3071-0000-1395","")</f>
        <v>3071-0000-1395</v>
      </c>
      <c r="B7069" s="4" t="s">
        <v>2582</v>
      </c>
      <c r="C7069" s="5">
        <v>41489</v>
      </c>
      <c r="D7069" s="5">
        <v>41549</v>
      </c>
      <c r="E7069" s="4" t="s">
        <v>1381</v>
      </c>
      <c r="F7069" s="4" t="s">
        <v>2303</v>
      </c>
    </row>
    <row r="7070" spans="1:6" x14ac:dyDescent="0.25">
      <c r="A7070" s="4" t="str">
        <f>CONCATENATE("3071-0000-7504","")</f>
        <v>3071-0000-7504</v>
      </c>
      <c r="B7070" s="4" t="s">
        <v>4598</v>
      </c>
      <c r="C7070" s="5">
        <v>41489</v>
      </c>
      <c r="D7070" s="5">
        <v>41549</v>
      </c>
      <c r="E7070" s="4" t="s">
        <v>1410</v>
      </c>
      <c r="F7070" s="4" t="s">
        <v>1410</v>
      </c>
    </row>
    <row r="7071" spans="1:6" x14ac:dyDescent="0.25">
      <c r="A7071" s="4" t="str">
        <f>CONCATENATE("3071-0000-3355","")</f>
        <v>3071-0000-3355</v>
      </c>
      <c r="B7071" s="4" t="s">
        <v>1484</v>
      </c>
      <c r="C7071" s="5">
        <v>41489</v>
      </c>
      <c r="D7071" s="5">
        <v>41549</v>
      </c>
      <c r="E7071" s="4" t="s">
        <v>1410</v>
      </c>
      <c r="F7071" s="4" t="s">
        <v>1411</v>
      </c>
    </row>
    <row r="7072" spans="1:6" x14ac:dyDescent="0.25">
      <c r="A7072" s="4" t="str">
        <f>CONCATENATE("3071-0000-4294","")</f>
        <v>3071-0000-4294</v>
      </c>
      <c r="B7072" s="4" t="s">
        <v>8813</v>
      </c>
      <c r="C7072" s="5">
        <v>41489</v>
      </c>
      <c r="D7072" s="5">
        <v>41549</v>
      </c>
      <c r="E7072" s="4" t="s">
        <v>1410</v>
      </c>
      <c r="F7072" s="4" t="s">
        <v>8696</v>
      </c>
    </row>
    <row r="7073" spans="1:6" x14ac:dyDescent="0.25">
      <c r="A7073" s="4" t="str">
        <f>CONCATENATE("3071-0000-4828","")</f>
        <v>3071-0000-4828</v>
      </c>
      <c r="B7073" s="4" t="s">
        <v>8814</v>
      </c>
      <c r="C7073" s="5">
        <v>41489</v>
      </c>
      <c r="D7073" s="5">
        <v>41549</v>
      </c>
      <c r="E7073" s="4" t="s">
        <v>1410</v>
      </c>
      <c r="F7073" s="4" t="s">
        <v>8696</v>
      </c>
    </row>
    <row r="7074" spans="1:6" x14ac:dyDescent="0.25">
      <c r="A7074" s="4" t="str">
        <f>CONCATENATE("3071-0000-8580","")</f>
        <v>3071-0000-8580</v>
      </c>
      <c r="B7074" s="4" t="s">
        <v>6129</v>
      </c>
      <c r="C7074" s="5">
        <v>41489</v>
      </c>
      <c r="D7074" s="5">
        <v>41549</v>
      </c>
      <c r="E7074" s="4" t="s">
        <v>5185</v>
      </c>
      <c r="F7074" s="4" t="s">
        <v>5945</v>
      </c>
    </row>
    <row r="7075" spans="1:6" x14ac:dyDescent="0.25">
      <c r="A7075" s="4" t="str">
        <f>CONCATENATE("3071-0000-8640","")</f>
        <v>3071-0000-8640</v>
      </c>
      <c r="B7075" s="4" t="s">
        <v>6036</v>
      </c>
      <c r="C7075" s="5">
        <v>41489</v>
      </c>
      <c r="D7075" s="5">
        <v>41549</v>
      </c>
      <c r="E7075" s="4" t="s">
        <v>5185</v>
      </c>
      <c r="F7075" s="4" t="s">
        <v>5945</v>
      </c>
    </row>
    <row r="7076" spans="1:6" x14ac:dyDescent="0.25">
      <c r="A7076" s="4" t="str">
        <f>CONCATENATE("3071-0000-6394","")</f>
        <v>3071-0000-6394</v>
      </c>
      <c r="B7076" s="4" t="s">
        <v>7845</v>
      </c>
      <c r="C7076" s="5">
        <v>41489</v>
      </c>
      <c r="D7076" s="5">
        <v>41549</v>
      </c>
      <c r="E7076" s="4" t="s">
        <v>5185</v>
      </c>
      <c r="F7076" s="4" t="s">
        <v>5185</v>
      </c>
    </row>
    <row r="7077" spans="1:6" x14ac:dyDescent="0.25">
      <c r="A7077" s="4" t="str">
        <f>CONCATENATE("3071-0000-6192","")</f>
        <v>3071-0000-6192</v>
      </c>
      <c r="B7077" s="4" t="s">
        <v>7508</v>
      </c>
      <c r="C7077" s="5">
        <v>41489</v>
      </c>
      <c r="D7077" s="5">
        <v>41549</v>
      </c>
      <c r="E7077" s="4" t="s">
        <v>1410</v>
      </c>
      <c r="F7077" s="4" t="s">
        <v>1410</v>
      </c>
    </row>
    <row r="7078" spans="1:6" x14ac:dyDescent="0.25">
      <c r="A7078" s="4" t="str">
        <f>CONCATENATE("3071-0000-8729","")</f>
        <v>3071-0000-8729</v>
      </c>
      <c r="B7078" s="4" t="s">
        <v>6543</v>
      </c>
      <c r="C7078" s="5">
        <v>41489</v>
      </c>
      <c r="D7078" s="5">
        <v>41549</v>
      </c>
      <c r="E7078" s="4" t="s">
        <v>5185</v>
      </c>
      <c r="F7078" s="4" t="s">
        <v>5292</v>
      </c>
    </row>
    <row r="7079" spans="1:6" x14ac:dyDescent="0.25">
      <c r="A7079" s="4" t="str">
        <f>CONCATENATE("3071-0000-1022","")</f>
        <v>3071-0000-1022</v>
      </c>
      <c r="B7079" s="4" t="s">
        <v>2238</v>
      </c>
      <c r="C7079" s="5">
        <v>41489</v>
      </c>
      <c r="D7079" s="5">
        <v>41549</v>
      </c>
      <c r="E7079" s="4" t="s">
        <v>1857</v>
      </c>
      <c r="F7079" s="4" t="s">
        <v>1857</v>
      </c>
    </row>
    <row r="7080" spans="1:6" x14ac:dyDescent="0.25">
      <c r="A7080" s="4" t="str">
        <f>CONCATENATE("3071-0000-1213","")</f>
        <v>3071-0000-1213</v>
      </c>
      <c r="B7080" s="4" t="s">
        <v>2255</v>
      </c>
      <c r="C7080" s="5">
        <v>41489</v>
      </c>
      <c r="D7080" s="5">
        <v>41549</v>
      </c>
      <c r="E7080" s="4" t="s">
        <v>1381</v>
      </c>
      <c r="F7080" s="4" t="s">
        <v>2236</v>
      </c>
    </row>
    <row r="7081" spans="1:6" x14ac:dyDescent="0.25">
      <c r="A7081" s="4" t="str">
        <f>CONCATENATE("3071-0000-3770","")</f>
        <v>3071-0000-3770</v>
      </c>
      <c r="B7081" s="4" t="s">
        <v>1487</v>
      </c>
      <c r="C7081" s="5">
        <v>41489</v>
      </c>
      <c r="D7081" s="5">
        <v>41549</v>
      </c>
      <c r="E7081" s="4" t="s">
        <v>1410</v>
      </c>
      <c r="F7081" s="4" t="s">
        <v>1411</v>
      </c>
    </row>
    <row r="7082" spans="1:6" x14ac:dyDescent="0.25">
      <c r="A7082" s="4" t="str">
        <f>CONCATENATE("3071-0000-8663","")</f>
        <v>3071-0000-8663</v>
      </c>
      <c r="B7082" s="4" t="s">
        <v>6377</v>
      </c>
      <c r="C7082" s="5">
        <v>41489</v>
      </c>
      <c r="D7082" s="5">
        <v>41549</v>
      </c>
      <c r="E7082" s="4" t="s">
        <v>5185</v>
      </c>
      <c r="F7082" s="4" t="s">
        <v>5292</v>
      </c>
    </row>
    <row r="7083" spans="1:6" x14ac:dyDescent="0.25">
      <c r="A7083" s="4" t="str">
        <f>CONCATENATE("3071-0000-6827","")</f>
        <v>3071-0000-6827</v>
      </c>
      <c r="B7083" s="4" t="s">
        <v>7892</v>
      </c>
      <c r="C7083" s="5">
        <v>41489</v>
      </c>
      <c r="D7083" s="5">
        <v>41549</v>
      </c>
      <c r="E7083" s="4" t="s">
        <v>1410</v>
      </c>
      <c r="F7083" s="4" t="s">
        <v>4655</v>
      </c>
    </row>
    <row r="7084" spans="1:6" x14ac:dyDescent="0.25">
      <c r="A7084" s="4" t="str">
        <f>CONCATENATE("3071-0000-6855","")</f>
        <v>3071-0000-6855</v>
      </c>
      <c r="B7084" s="4" t="s">
        <v>7895</v>
      </c>
      <c r="C7084" s="5">
        <v>41489</v>
      </c>
      <c r="D7084" s="5">
        <v>41549</v>
      </c>
      <c r="E7084" s="4" t="s">
        <v>1410</v>
      </c>
      <c r="F7084" s="4" t="s">
        <v>4655</v>
      </c>
    </row>
    <row r="7085" spans="1:6" x14ac:dyDescent="0.25">
      <c r="A7085" s="4" t="str">
        <f>CONCATENATE("3071-0000-8545","")</f>
        <v>3071-0000-8545</v>
      </c>
      <c r="B7085" s="4" t="s">
        <v>6088</v>
      </c>
      <c r="C7085" s="5">
        <v>41489</v>
      </c>
      <c r="D7085" s="5">
        <v>41549</v>
      </c>
      <c r="E7085" s="4" t="s">
        <v>5185</v>
      </c>
      <c r="F7085" s="4" t="s">
        <v>5945</v>
      </c>
    </row>
    <row r="7086" spans="1:6" x14ac:dyDescent="0.25">
      <c r="A7086" s="4" t="str">
        <f>CONCATENATE("3071-0000-1495","")</f>
        <v>3071-0000-1495</v>
      </c>
      <c r="B7086" s="4" t="s">
        <v>2800</v>
      </c>
      <c r="C7086" s="5">
        <v>41489</v>
      </c>
      <c r="D7086" s="5">
        <v>41549</v>
      </c>
      <c r="E7086" s="4" t="s">
        <v>1381</v>
      </c>
      <c r="F7086" s="4" t="s">
        <v>2303</v>
      </c>
    </row>
    <row r="7087" spans="1:6" x14ac:dyDescent="0.25">
      <c r="A7087" s="4" t="str">
        <f>CONCATENATE("3071-0000-0706","")</f>
        <v>3071-0000-0706</v>
      </c>
      <c r="B7087" s="4" t="s">
        <v>639</v>
      </c>
      <c r="C7087" s="5">
        <v>41489</v>
      </c>
      <c r="D7087" s="5">
        <v>41549</v>
      </c>
      <c r="E7087" s="4" t="s">
        <v>7</v>
      </c>
      <c r="F7087" s="4" t="s">
        <v>7</v>
      </c>
    </row>
    <row r="7088" spans="1:6" x14ac:dyDescent="0.25">
      <c r="A7088" s="4" t="str">
        <f>CONCATENATE("3071-0000-0895","")</f>
        <v>3071-0000-0895</v>
      </c>
      <c r="B7088" s="4" t="s">
        <v>2058</v>
      </c>
      <c r="C7088" s="5">
        <v>41489</v>
      </c>
      <c r="D7088" s="5">
        <v>41549</v>
      </c>
      <c r="E7088" s="4" t="s">
        <v>1857</v>
      </c>
      <c r="F7088" s="4" t="s">
        <v>1857</v>
      </c>
    </row>
    <row r="7089" spans="1:6" x14ac:dyDescent="0.25">
      <c r="A7089" s="4" t="str">
        <f>CONCATENATE("3071-0000-7547","")</f>
        <v>3071-0000-7547</v>
      </c>
      <c r="B7089" s="4" t="s">
        <v>4388</v>
      </c>
      <c r="C7089" s="5">
        <v>41489</v>
      </c>
      <c r="D7089" s="5">
        <v>41549</v>
      </c>
      <c r="E7089" s="4" t="s">
        <v>1410</v>
      </c>
      <c r="F7089" s="4" t="s">
        <v>1410</v>
      </c>
    </row>
    <row r="7090" spans="1:6" x14ac:dyDescent="0.25">
      <c r="A7090" s="4" t="str">
        <f>CONCATENATE("3071-0000-3018","")</f>
        <v>3071-0000-3018</v>
      </c>
      <c r="B7090" s="4" t="s">
        <v>949</v>
      </c>
      <c r="C7090" s="5">
        <v>41489</v>
      </c>
      <c r="D7090" s="5">
        <v>41549</v>
      </c>
      <c r="E7090" s="4" t="s">
        <v>7</v>
      </c>
      <c r="F7090" s="4" t="s">
        <v>808</v>
      </c>
    </row>
    <row r="7091" spans="1:6" x14ac:dyDescent="0.25">
      <c r="A7091" s="4" t="str">
        <f>CONCATENATE("3071-0000-1657","")</f>
        <v>3071-0000-1657</v>
      </c>
      <c r="B7091" s="4" t="s">
        <v>2532</v>
      </c>
      <c r="C7091" s="5">
        <v>41489</v>
      </c>
      <c r="D7091" s="5">
        <v>41549</v>
      </c>
      <c r="E7091" s="4" t="s">
        <v>1381</v>
      </c>
      <c r="F7091" s="4" t="s">
        <v>2533</v>
      </c>
    </row>
    <row r="7092" spans="1:6" x14ac:dyDescent="0.25">
      <c r="A7092" s="4" t="str">
        <f>CONCATENATE("3071-0000-6047","")</f>
        <v>3071-0000-6047</v>
      </c>
      <c r="B7092" s="4" t="s">
        <v>7499</v>
      </c>
      <c r="C7092" s="5">
        <v>41489</v>
      </c>
      <c r="D7092" s="5">
        <v>41549</v>
      </c>
      <c r="E7092" s="4" t="s">
        <v>1410</v>
      </c>
      <c r="F7092" s="4" t="s">
        <v>1410</v>
      </c>
    </row>
    <row r="7093" spans="1:6" x14ac:dyDescent="0.25">
      <c r="A7093" s="4" t="str">
        <f>CONCATENATE("3071-0000-1868","")</f>
        <v>3071-0000-1868</v>
      </c>
      <c r="B7093" s="4" t="s">
        <v>2618</v>
      </c>
      <c r="C7093" s="5">
        <v>41489</v>
      </c>
      <c r="D7093" s="5">
        <v>41549</v>
      </c>
      <c r="E7093" s="4" t="s">
        <v>1381</v>
      </c>
      <c r="F7093" s="4" t="s">
        <v>2319</v>
      </c>
    </row>
    <row r="7094" spans="1:6" x14ac:dyDescent="0.25">
      <c r="A7094" s="4" t="str">
        <f>CONCATENATE("3071-0000-0471","")</f>
        <v>3071-0000-0471</v>
      </c>
      <c r="B7094" s="4" t="s">
        <v>404</v>
      </c>
      <c r="C7094" s="5">
        <v>41489</v>
      </c>
      <c r="D7094" s="5">
        <v>41549</v>
      </c>
      <c r="E7094" s="4" t="s">
        <v>7</v>
      </c>
      <c r="F7094" s="4" t="s">
        <v>7</v>
      </c>
    </row>
    <row r="7095" spans="1:6" x14ac:dyDescent="0.25">
      <c r="A7095" s="4" t="str">
        <f>CONCATENATE("3071-0000-8189","")</f>
        <v>3071-0000-8189</v>
      </c>
      <c r="B7095" s="4" t="s">
        <v>6308</v>
      </c>
      <c r="C7095" s="5">
        <v>41489</v>
      </c>
      <c r="D7095" s="5">
        <v>41549</v>
      </c>
      <c r="E7095" s="4" t="s">
        <v>5185</v>
      </c>
      <c r="F7095" s="4" t="s">
        <v>5185</v>
      </c>
    </row>
    <row r="7096" spans="1:6" x14ac:dyDescent="0.25">
      <c r="A7096" s="4" t="str">
        <f>CONCATENATE("3071-0000-1889","")</f>
        <v>3071-0000-1889</v>
      </c>
      <c r="B7096" s="4" t="s">
        <v>2955</v>
      </c>
      <c r="C7096" s="5">
        <v>41489</v>
      </c>
      <c r="D7096" s="5">
        <v>41549</v>
      </c>
      <c r="E7096" s="4" t="s">
        <v>2944</v>
      </c>
      <c r="F7096" s="4" t="s">
        <v>2945</v>
      </c>
    </row>
    <row r="7097" spans="1:6" x14ac:dyDescent="0.25">
      <c r="A7097" s="4" t="str">
        <f>CONCATENATE("3071-0000-3541","")</f>
        <v>3071-0000-3541</v>
      </c>
      <c r="B7097" s="4" t="s">
        <v>1717</v>
      </c>
      <c r="C7097" s="5">
        <v>41489</v>
      </c>
      <c r="D7097" s="5">
        <v>41549</v>
      </c>
      <c r="E7097" s="4" t="s">
        <v>1410</v>
      </c>
      <c r="F7097" s="4" t="s">
        <v>1411</v>
      </c>
    </row>
    <row r="7098" spans="1:6" x14ac:dyDescent="0.25">
      <c r="A7098" s="4" t="str">
        <f>CONCATENATE("3071-0000-3850","")</f>
        <v>3071-0000-3850</v>
      </c>
      <c r="B7098" s="4" t="s">
        <v>3917</v>
      </c>
      <c r="C7098" s="5">
        <v>41489</v>
      </c>
      <c r="D7098" s="5">
        <v>41549</v>
      </c>
      <c r="E7098" s="4" t="s">
        <v>2944</v>
      </c>
      <c r="F7098" s="4" t="s">
        <v>3513</v>
      </c>
    </row>
    <row r="7099" spans="1:6" x14ac:dyDescent="0.25">
      <c r="A7099" s="4" t="str">
        <f>CONCATENATE("3071-0000-3572","")</f>
        <v>3071-0000-3572</v>
      </c>
      <c r="B7099" s="4" t="s">
        <v>1719</v>
      </c>
      <c r="C7099" s="5">
        <v>41489</v>
      </c>
      <c r="D7099" s="5">
        <v>41549</v>
      </c>
      <c r="E7099" s="4" t="s">
        <v>1410</v>
      </c>
      <c r="F7099" s="4" t="s">
        <v>1411</v>
      </c>
    </row>
    <row r="7100" spans="1:6" x14ac:dyDescent="0.25">
      <c r="A7100" s="4" t="str">
        <f>CONCATENATE("3071-0000-4434","")</f>
        <v>3071-0000-4434</v>
      </c>
      <c r="B7100" s="4" t="s">
        <v>9305</v>
      </c>
      <c r="C7100" s="5">
        <v>41489</v>
      </c>
      <c r="D7100" s="5">
        <v>41549</v>
      </c>
      <c r="E7100" s="4" t="s">
        <v>1410</v>
      </c>
      <c r="F7100" s="4" t="s">
        <v>8696</v>
      </c>
    </row>
    <row r="7101" spans="1:6" x14ac:dyDescent="0.25">
      <c r="A7101" s="4" t="str">
        <f>CONCATENATE("3071-0000-4583","")</f>
        <v>3071-0000-4583</v>
      </c>
      <c r="B7101" s="4" t="s">
        <v>9609</v>
      </c>
      <c r="C7101" s="5">
        <v>41489</v>
      </c>
      <c r="D7101" s="5">
        <v>41549</v>
      </c>
      <c r="E7101" s="4" t="s">
        <v>1410</v>
      </c>
      <c r="F7101" s="4" t="s">
        <v>8696</v>
      </c>
    </row>
    <row r="7102" spans="1:6" x14ac:dyDescent="0.25">
      <c r="A7102" s="4" t="str">
        <f>CONCATENATE("3071-0000-9589","")</f>
        <v>3071-0000-9589</v>
      </c>
      <c r="B7102" s="4" t="s">
        <v>8423</v>
      </c>
      <c r="C7102" s="5">
        <v>41489</v>
      </c>
      <c r="D7102" s="5">
        <v>41549</v>
      </c>
      <c r="E7102" s="4" t="s">
        <v>1410</v>
      </c>
      <c r="F7102" s="4" t="s">
        <v>4459</v>
      </c>
    </row>
    <row r="7103" spans="1:6" x14ac:dyDescent="0.25">
      <c r="A7103" s="4" t="str">
        <f>CONCATENATE("3071-0000-4704","")</f>
        <v>3071-0000-4704</v>
      </c>
      <c r="B7103" s="4" t="s">
        <v>9441</v>
      </c>
      <c r="C7103" s="5">
        <v>41489</v>
      </c>
      <c r="D7103" s="5">
        <v>41549</v>
      </c>
      <c r="E7103" s="4" t="s">
        <v>1410</v>
      </c>
      <c r="F7103" s="4" t="s">
        <v>8696</v>
      </c>
    </row>
    <row r="7104" spans="1:6" x14ac:dyDescent="0.25">
      <c r="A7104" s="4" t="str">
        <f>CONCATENATE("3071-0000-8202","")</f>
        <v>3071-0000-8202</v>
      </c>
      <c r="B7104" s="4" t="s">
        <v>5837</v>
      </c>
      <c r="C7104" s="5">
        <v>41489</v>
      </c>
      <c r="D7104" s="5">
        <v>41549</v>
      </c>
      <c r="E7104" s="4" t="s">
        <v>5185</v>
      </c>
      <c r="F7104" s="4" t="s">
        <v>5185</v>
      </c>
    </row>
    <row r="7105" spans="1:6" x14ac:dyDescent="0.25">
      <c r="A7105" s="4" t="str">
        <f>CONCATENATE("3071-0000-5186","")</f>
        <v>3071-0000-5186</v>
      </c>
      <c r="B7105" s="4" t="s">
        <v>9489</v>
      </c>
      <c r="C7105" s="5">
        <v>41489</v>
      </c>
      <c r="D7105" s="5">
        <v>41549</v>
      </c>
      <c r="E7105" s="4" t="s">
        <v>7069</v>
      </c>
      <c r="F7105" s="4" t="s">
        <v>9485</v>
      </c>
    </row>
    <row r="7106" spans="1:6" x14ac:dyDescent="0.25">
      <c r="A7106" s="4" t="str">
        <f>CONCATENATE("3071-0000-4504","")</f>
        <v>3071-0000-4504</v>
      </c>
      <c r="B7106" s="4" t="s">
        <v>9504</v>
      </c>
      <c r="C7106" s="5">
        <v>41489</v>
      </c>
      <c r="D7106" s="5">
        <v>41549</v>
      </c>
      <c r="E7106" s="4" t="s">
        <v>1410</v>
      </c>
      <c r="F7106" s="4" t="s">
        <v>8696</v>
      </c>
    </row>
    <row r="7107" spans="1:6" x14ac:dyDescent="0.25">
      <c r="A7107" s="4" t="str">
        <f>CONCATENATE("3071-0000-9171","")</f>
        <v>3071-0000-9171</v>
      </c>
      <c r="B7107" s="4" t="s">
        <v>5233</v>
      </c>
      <c r="C7107" s="5">
        <v>41489</v>
      </c>
      <c r="D7107" s="5">
        <v>41549</v>
      </c>
      <c r="E7107" s="4" t="s">
        <v>5185</v>
      </c>
      <c r="F7107" s="4" t="s">
        <v>5185</v>
      </c>
    </row>
    <row r="7108" spans="1:6" x14ac:dyDescent="0.25">
      <c r="A7108" s="4" t="str">
        <f>CONCATENATE("3071-0000-7228","")</f>
        <v>3071-0000-7228</v>
      </c>
      <c r="B7108" s="4" t="s">
        <v>4985</v>
      </c>
      <c r="C7108" s="5">
        <v>41489</v>
      </c>
      <c r="D7108" s="5">
        <v>41549</v>
      </c>
      <c r="E7108" s="4" t="s">
        <v>1410</v>
      </c>
      <c r="F7108" s="4" t="s">
        <v>1410</v>
      </c>
    </row>
    <row r="7109" spans="1:6" x14ac:dyDescent="0.25">
      <c r="A7109" s="4" t="str">
        <f>CONCATENATE("3071-0000-8901","")</f>
        <v>3071-0000-8901</v>
      </c>
      <c r="B7109" s="4" t="s">
        <v>6299</v>
      </c>
      <c r="C7109" s="5">
        <v>41489</v>
      </c>
      <c r="D7109" s="5">
        <v>41549</v>
      </c>
      <c r="E7109" s="4" t="s">
        <v>5185</v>
      </c>
      <c r="F7109" s="4" t="s">
        <v>6181</v>
      </c>
    </row>
    <row r="7110" spans="1:6" x14ac:dyDescent="0.25">
      <c r="A7110" s="4" t="str">
        <f>CONCATENATE("3071-0000-7898","")</f>
        <v>3071-0000-7898</v>
      </c>
      <c r="B7110" s="4" t="s">
        <v>5672</v>
      </c>
      <c r="C7110" s="5">
        <v>41489</v>
      </c>
      <c r="D7110" s="5">
        <v>41549</v>
      </c>
      <c r="E7110" s="4" t="s">
        <v>5185</v>
      </c>
      <c r="F7110" s="4" t="s">
        <v>5185</v>
      </c>
    </row>
    <row r="7111" spans="1:6" x14ac:dyDescent="0.25">
      <c r="A7111" s="4" t="str">
        <f>CONCATENATE("3071-0000-4777","")</f>
        <v>3071-0000-4777</v>
      </c>
      <c r="B7111" s="4" t="s">
        <v>9031</v>
      </c>
      <c r="C7111" s="5">
        <v>41489</v>
      </c>
      <c r="D7111" s="5">
        <v>41549</v>
      </c>
      <c r="E7111" s="4" t="s">
        <v>1410</v>
      </c>
      <c r="F7111" s="4" t="s">
        <v>8696</v>
      </c>
    </row>
    <row r="7112" spans="1:6" x14ac:dyDescent="0.25">
      <c r="A7112" s="4" t="str">
        <f>CONCATENATE("3071-0000-8731","")</f>
        <v>3071-0000-8731</v>
      </c>
      <c r="B7112" s="4" t="s">
        <v>6538</v>
      </c>
      <c r="C7112" s="5">
        <v>41489</v>
      </c>
      <c r="D7112" s="5">
        <v>41549</v>
      </c>
      <c r="E7112" s="4" t="s">
        <v>5185</v>
      </c>
      <c r="F7112" s="4" t="s">
        <v>5292</v>
      </c>
    </row>
    <row r="7113" spans="1:6" x14ac:dyDescent="0.25">
      <c r="A7113" s="4" t="str">
        <f>CONCATENATE("3071-0000-4048","")</f>
        <v>3071-0000-4048</v>
      </c>
      <c r="B7113" s="4" t="s">
        <v>3969</v>
      </c>
      <c r="C7113" s="5">
        <v>41489</v>
      </c>
      <c r="D7113" s="5">
        <v>41549</v>
      </c>
      <c r="E7113" s="4" t="s">
        <v>7</v>
      </c>
      <c r="F7113" s="4" t="s">
        <v>1419</v>
      </c>
    </row>
    <row r="7114" spans="1:6" x14ac:dyDescent="0.25">
      <c r="A7114" s="4" t="str">
        <f>CONCATENATE("3071-0000-9106","")</f>
        <v>3071-0000-9106</v>
      </c>
      <c r="B7114" s="4" t="s">
        <v>5818</v>
      </c>
      <c r="C7114" s="5">
        <v>41489</v>
      </c>
      <c r="D7114" s="5">
        <v>41549</v>
      </c>
      <c r="E7114" s="4" t="s">
        <v>5185</v>
      </c>
      <c r="F7114" s="4" t="s">
        <v>5763</v>
      </c>
    </row>
    <row r="7115" spans="1:6" x14ac:dyDescent="0.25">
      <c r="A7115" s="4" t="str">
        <f>CONCATENATE("3071-0000-2290","")</f>
        <v>3071-0000-2290</v>
      </c>
      <c r="B7115" s="4" t="s">
        <v>3768</v>
      </c>
      <c r="C7115" s="5">
        <v>41489</v>
      </c>
      <c r="D7115" s="5">
        <v>41549</v>
      </c>
      <c r="E7115" s="4" t="s">
        <v>2944</v>
      </c>
      <c r="F7115" s="4" t="s">
        <v>2945</v>
      </c>
    </row>
    <row r="7116" spans="1:6" x14ac:dyDescent="0.25">
      <c r="A7116" s="4" t="str">
        <f>CONCATENATE("3071-0000-7515","")</f>
        <v>3071-0000-7515</v>
      </c>
      <c r="B7116" s="4" t="s">
        <v>4405</v>
      </c>
      <c r="C7116" s="5">
        <v>41489</v>
      </c>
      <c r="D7116" s="5">
        <v>41549</v>
      </c>
      <c r="E7116" s="4" t="s">
        <v>1410</v>
      </c>
      <c r="F7116" s="4" t="s">
        <v>1410</v>
      </c>
    </row>
    <row r="7117" spans="1:6" x14ac:dyDescent="0.25">
      <c r="A7117" s="4" t="str">
        <f>CONCATENATE("3071-0000-3091","")</f>
        <v>3071-0000-3091</v>
      </c>
      <c r="B7117" s="4" t="s">
        <v>860</v>
      </c>
      <c r="C7117" s="5">
        <v>41489</v>
      </c>
      <c r="D7117" s="5">
        <v>41549</v>
      </c>
      <c r="E7117" s="4" t="s">
        <v>7</v>
      </c>
      <c r="F7117" s="4" t="s">
        <v>812</v>
      </c>
    </row>
    <row r="7118" spans="1:6" x14ac:dyDescent="0.25">
      <c r="A7118" s="4" t="str">
        <f>CONCATENATE("3071-0000-3886","")</f>
        <v>3071-0000-3886</v>
      </c>
      <c r="B7118" s="4" t="s">
        <v>4100</v>
      </c>
      <c r="C7118" s="5">
        <v>41489</v>
      </c>
      <c r="D7118" s="5">
        <v>41549</v>
      </c>
      <c r="E7118" s="4" t="s">
        <v>2944</v>
      </c>
      <c r="F7118" s="4" t="s">
        <v>3513</v>
      </c>
    </row>
    <row r="7119" spans="1:6" x14ac:dyDescent="0.25">
      <c r="A7119" s="4" t="str">
        <f>CONCATENATE("3071-0000-1356","")</f>
        <v>3071-0000-1356</v>
      </c>
      <c r="B7119" s="4" t="s">
        <v>2503</v>
      </c>
      <c r="C7119" s="5">
        <v>41489</v>
      </c>
      <c r="D7119" s="5">
        <v>41549</v>
      </c>
      <c r="E7119" s="4" t="s">
        <v>1381</v>
      </c>
      <c r="F7119" s="4" t="s">
        <v>2303</v>
      </c>
    </row>
    <row r="7120" spans="1:6" x14ac:dyDescent="0.25">
      <c r="A7120" s="4" t="str">
        <f>CONCATENATE("3071-0000-6795","")</f>
        <v>3071-0000-6795</v>
      </c>
      <c r="B7120" s="4" t="s">
        <v>8253</v>
      </c>
      <c r="C7120" s="5">
        <v>41489</v>
      </c>
      <c r="D7120" s="5">
        <v>41549</v>
      </c>
      <c r="E7120" s="4" t="s">
        <v>1410</v>
      </c>
      <c r="F7120" s="4" t="s">
        <v>8192</v>
      </c>
    </row>
    <row r="7121" spans="1:6" x14ac:dyDescent="0.25">
      <c r="A7121" s="4" t="str">
        <f>CONCATENATE("3071-0000-2148","")</f>
        <v>3071-0000-2148</v>
      </c>
      <c r="B7121" s="4" t="s">
        <v>3017</v>
      </c>
      <c r="C7121" s="5">
        <v>41489</v>
      </c>
      <c r="D7121" s="5">
        <v>41549</v>
      </c>
      <c r="E7121" s="4" t="s">
        <v>2944</v>
      </c>
      <c r="F7121" s="4" t="s">
        <v>2945</v>
      </c>
    </row>
    <row r="7122" spans="1:6" x14ac:dyDescent="0.25">
      <c r="A7122" s="4" t="str">
        <f>CONCATENATE("3071-0000-2345","")</f>
        <v>3071-0000-2345</v>
      </c>
      <c r="B7122" s="4" t="s">
        <v>2954</v>
      </c>
      <c r="C7122" s="5">
        <v>41489</v>
      </c>
      <c r="D7122" s="5">
        <v>41549</v>
      </c>
      <c r="E7122" s="4" t="s">
        <v>2944</v>
      </c>
      <c r="F7122" s="4" t="s">
        <v>2945</v>
      </c>
    </row>
    <row r="7123" spans="1:6" x14ac:dyDescent="0.25">
      <c r="A7123" s="4" t="str">
        <f>CONCATENATE("3071-0000-2430","")</f>
        <v>3071-0000-2430</v>
      </c>
      <c r="B7123" s="4" t="s">
        <v>3800</v>
      </c>
      <c r="C7123" s="5">
        <v>41489</v>
      </c>
      <c r="D7123" s="5">
        <v>41549</v>
      </c>
      <c r="E7123" s="4" t="s">
        <v>2944</v>
      </c>
      <c r="F7123" s="4" t="s">
        <v>2945</v>
      </c>
    </row>
    <row r="7124" spans="1:6" x14ac:dyDescent="0.25">
      <c r="A7124" s="4" t="str">
        <f>CONCATENATE("3071-0000-8848","")</f>
        <v>3071-0000-8848</v>
      </c>
      <c r="B7124" s="4" t="s">
        <v>5527</v>
      </c>
      <c r="C7124" s="5">
        <v>41489</v>
      </c>
      <c r="D7124" s="5">
        <v>41549</v>
      </c>
      <c r="E7124" s="4" t="s">
        <v>5185</v>
      </c>
      <c r="F7124" s="4" t="s">
        <v>5250</v>
      </c>
    </row>
    <row r="7125" spans="1:6" x14ac:dyDescent="0.25">
      <c r="A7125" s="4" t="str">
        <f>CONCATENATE("3071-0000-4980","")</f>
        <v>3071-0000-4980</v>
      </c>
      <c r="B7125" s="4" t="s">
        <v>9372</v>
      </c>
      <c r="C7125" s="5">
        <v>41489</v>
      </c>
      <c r="D7125" s="5">
        <v>41549</v>
      </c>
      <c r="E7125" s="4" t="s">
        <v>7069</v>
      </c>
      <c r="F7125" s="4" t="s">
        <v>9210</v>
      </c>
    </row>
    <row r="7126" spans="1:6" x14ac:dyDescent="0.25">
      <c r="A7126" s="4" t="str">
        <f>CONCATENATE("3071-0000-8567","")</f>
        <v>3071-0000-8567</v>
      </c>
      <c r="B7126" s="4" t="s">
        <v>5746</v>
      </c>
      <c r="C7126" s="5">
        <v>41489</v>
      </c>
      <c r="D7126" s="5">
        <v>41549</v>
      </c>
      <c r="E7126" s="4" t="s">
        <v>5185</v>
      </c>
      <c r="F7126" s="4" t="s">
        <v>5250</v>
      </c>
    </row>
    <row r="7127" spans="1:6" x14ac:dyDescent="0.25">
      <c r="A7127" s="4" t="str">
        <f>CONCATENATE("3071-0000-4986","")</f>
        <v>3071-0000-4986</v>
      </c>
      <c r="B7127" s="4" t="s">
        <v>9421</v>
      </c>
      <c r="C7127" s="5">
        <v>41489</v>
      </c>
      <c r="D7127" s="5">
        <v>41549</v>
      </c>
      <c r="E7127" s="4" t="s">
        <v>7069</v>
      </c>
      <c r="F7127" s="4" t="s">
        <v>9210</v>
      </c>
    </row>
    <row r="7128" spans="1:6" x14ac:dyDescent="0.25">
      <c r="A7128" s="4" t="str">
        <f>CONCATENATE("3071-0000-0078","")</f>
        <v>3071-0000-0078</v>
      </c>
      <c r="B7128" s="4" t="s">
        <v>144</v>
      </c>
      <c r="C7128" s="5">
        <v>41489</v>
      </c>
      <c r="D7128" s="5">
        <v>41549</v>
      </c>
      <c r="E7128" s="4" t="s">
        <v>7</v>
      </c>
      <c r="F7128" s="4" t="s">
        <v>7</v>
      </c>
    </row>
    <row r="7129" spans="1:6" x14ac:dyDescent="0.25">
      <c r="A7129" s="4" t="str">
        <f>CONCATENATE("3071-0000-7644","")</f>
        <v>3071-0000-7644</v>
      </c>
      <c r="B7129" s="4" t="s">
        <v>5153</v>
      </c>
      <c r="C7129" s="5">
        <v>41489</v>
      </c>
      <c r="D7129" s="5">
        <v>41549</v>
      </c>
      <c r="E7129" s="4" t="s">
        <v>1410</v>
      </c>
      <c r="F7129" s="4" t="s">
        <v>4616</v>
      </c>
    </row>
    <row r="7130" spans="1:6" x14ac:dyDescent="0.25">
      <c r="A7130" s="4" t="str">
        <f>CONCATENATE("3071-0000-5525","")</f>
        <v>3071-0000-5525</v>
      </c>
      <c r="B7130" s="4" t="s">
        <v>6977</v>
      </c>
      <c r="C7130" s="5">
        <v>41489</v>
      </c>
      <c r="D7130" s="5">
        <v>41549</v>
      </c>
      <c r="E7130" s="4" t="s">
        <v>5185</v>
      </c>
      <c r="F7130" s="4" t="s">
        <v>5185</v>
      </c>
    </row>
    <row r="7131" spans="1:6" x14ac:dyDescent="0.25">
      <c r="A7131" s="4" t="str">
        <f>CONCATENATE("3071-0000-9525","")</f>
        <v>3071-0000-9525</v>
      </c>
      <c r="B7131" s="4" t="s">
        <v>8664</v>
      </c>
      <c r="C7131" s="5">
        <v>41489</v>
      </c>
      <c r="D7131" s="5">
        <v>41549</v>
      </c>
      <c r="E7131" s="4" t="s">
        <v>1410</v>
      </c>
      <c r="F7131" s="4" t="s">
        <v>4459</v>
      </c>
    </row>
    <row r="7132" spans="1:6" x14ac:dyDescent="0.25">
      <c r="A7132" s="4" t="str">
        <f>CONCATENATE("3071-0000-6399","")</f>
        <v>3071-0000-6399</v>
      </c>
      <c r="B7132" s="4" t="s">
        <v>7837</v>
      </c>
      <c r="C7132" s="5">
        <v>41489</v>
      </c>
      <c r="D7132" s="5">
        <v>41549</v>
      </c>
      <c r="E7132" s="4" t="s">
        <v>5185</v>
      </c>
      <c r="F7132" s="4" t="s">
        <v>5185</v>
      </c>
    </row>
    <row r="7133" spans="1:6" x14ac:dyDescent="0.25">
      <c r="A7133" s="4" t="str">
        <f>CONCATENATE("3071-0000-8445","")</f>
        <v>3071-0000-8445</v>
      </c>
      <c r="B7133" s="4" t="s">
        <v>5660</v>
      </c>
      <c r="C7133" s="5">
        <v>41489</v>
      </c>
      <c r="D7133" s="5">
        <v>41549</v>
      </c>
      <c r="E7133" s="4" t="s">
        <v>5185</v>
      </c>
      <c r="F7133" s="4" t="s">
        <v>5250</v>
      </c>
    </row>
    <row r="7134" spans="1:6" x14ac:dyDescent="0.25">
      <c r="A7134" s="4" t="str">
        <f>CONCATENATE("3071-0000-8032","")</f>
        <v>3071-0000-8032</v>
      </c>
      <c r="B7134" s="4" t="s">
        <v>5687</v>
      </c>
      <c r="C7134" s="5">
        <v>41489</v>
      </c>
      <c r="D7134" s="5">
        <v>41549</v>
      </c>
      <c r="E7134" s="4" t="s">
        <v>5185</v>
      </c>
      <c r="F7134" s="4" t="s">
        <v>5185</v>
      </c>
    </row>
    <row r="7135" spans="1:6" x14ac:dyDescent="0.25">
      <c r="A7135" s="4" t="str">
        <f>CONCATENATE("3071-0000-5928","")</f>
        <v>3071-0000-5928</v>
      </c>
      <c r="B7135" s="4" t="s">
        <v>7472</v>
      </c>
      <c r="C7135" s="5">
        <v>41489</v>
      </c>
      <c r="D7135" s="5">
        <v>41549</v>
      </c>
      <c r="E7135" s="4" t="s">
        <v>5185</v>
      </c>
      <c r="F7135" s="4" t="s">
        <v>5185</v>
      </c>
    </row>
    <row r="7136" spans="1:6" x14ac:dyDescent="0.25">
      <c r="A7136" s="4" t="str">
        <f>CONCATENATE("3071-0000-8557","")</f>
        <v>3071-0000-8557</v>
      </c>
      <c r="B7136" s="4" t="s">
        <v>6153</v>
      </c>
      <c r="C7136" s="5">
        <v>41489</v>
      </c>
      <c r="D7136" s="5">
        <v>41549</v>
      </c>
      <c r="E7136" s="4" t="s">
        <v>5185</v>
      </c>
      <c r="F7136" s="4" t="s">
        <v>5945</v>
      </c>
    </row>
    <row r="7137" spans="1:6" x14ac:dyDescent="0.25">
      <c r="A7137" s="4" t="str">
        <f>CONCATENATE("3071-0000-6901","")</f>
        <v>3071-0000-6901</v>
      </c>
      <c r="B7137" s="4" t="s">
        <v>4289</v>
      </c>
      <c r="C7137" s="5">
        <v>41489</v>
      </c>
      <c r="D7137" s="5">
        <v>41549</v>
      </c>
      <c r="E7137" s="4" t="s">
        <v>1410</v>
      </c>
      <c r="F7137" s="4" t="s">
        <v>1410</v>
      </c>
    </row>
    <row r="7138" spans="1:6" x14ac:dyDescent="0.25">
      <c r="A7138" s="4" t="str">
        <f>CONCATENATE("3071-0000-6406","")</f>
        <v>3071-0000-6406</v>
      </c>
      <c r="B7138" s="4" t="s">
        <v>7849</v>
      </c>
      <c r="C7138" s="5">
        <v>41489</v>
      </c>
      <c r="D7138" s="5">
        <v>41549</v>
      </c>
      <c r="E7138" s="4" t="s">
        <v>5185</v>
      </c>
      <c r="F7138" s="4" t="s">
        <v>5185</v>
      </c>
    </row>
    <row r="7139" spans="1:6" x14ac:dyDescent="0.25">
      <c r="A7139" s="4" t="str">
        <f>CONCATENATE("3071-0000-7370","")</f>
        <v>3071-0000-7370</v>
      </c>
      <c r="B7139" s="4" t="s">
        <v>4320</v>
      </c>
      <c r="C7139" s="5">
        <v>41489</v>
      </c>
      <c r="D7139" s="5">
        <v>41549</v>
      </c>
      <c r="E7139" s="4" t="s">
        <v>1410</v>
      </c>
      <c r="F7139" s="4" t="s">
        <v>1410</v>
      </c>
    </row>
    <row r="7140" spans="1:6" x14ac:dyDescent="0.25">
      <c r="A7140" s="4" t="str">
        <f>CONCATENATE("3071-0000-5799","")</f>
        <v>3071-0000-5799</v>
      </c>
      <c r="B7140" s="4" t="s">
        <v>7475</v>
      </c>
      <c r="C7140" s="5">
        <v>41489</v>
      </c>
      <c r="D7140" s="5">
        <v>41549</v>
      </c>
      <c r="E7140" s="4" t="s">
        <v>5185</v>
      </c>
      <c r="F7140" s="4" t="s">
        <v>5185</v>
      </c>
    </row>
    <row r="7141" spans="1:6" x14ac:dyDescent="0.25">
      <c r="A7141" s="4" t="str">
        <f>CONCATENATE("3071-0000-6838","")</f>
        <v>3071-0000-6838</v>
      </c>
      <c r="B7141" s="4" t="s">
        <v>7838</v>
      </c>
      <c r="C7141" s="5">
        <v>41489</v>
      </c>
      <c r="D7141" s="5">
        <v>41549</v>
      </c>
      <c r="E7141" s="4" t="s">
        <v>1410</v>
      </c>
      <c r="F7141" s="4" t="s">
        <v>4655</v>
      </c>
    </row>
    <row r="7142" spans="1:6" x14ac:dyDescent="0.25">
      <c r="A7142" s="4" t="str">
        <f>CONCATENATE("3071-0000-8353","")</f>
        <v>3071-0000-8353</v>
      </c>
      <c r="B7142" s="4" t="s">
        <v>5513</v>
      </c>
      <c r="C7142" s="5">
        <v>41489</v>
      </c>
      <c r="D7142" s="5">
        <v>41549</v>
      </c>
      <c r="E7142" s="4" t="s">
        <v>5185</v>
      </c>
      <c r="F7142" s="4" t="s">
        <v>5185</v>
      </c>
    </row>
    <row r="7143" spans="1:6" x14ac:dyDescent="0.25">
      <c r="A7143" s="4" t="str">
        <f>CONCATENATE("3071-0000-7709","")</f>
        <v>3071-0000-7709</v>
      </c>
      <c r="B7143" s="4" t="s">
        <v>4568</v>
      </c>
      <c r="C7143" s="5">
        <v>41489</v>
      </c>
      <c r="D7143" s="5">
        <v>41549</v>
      </c>
      <c r="E7143" s="4" t="s">
        <v>1410</v>
      </c>
      <c r="F7143" s="4" t="s">
        <v>1410</v>
      </c>
    </row>
    <row r="7144" spans="1:6" x14ac:dyDescent="0.25">
      <c r="A7144" s="4" t="str">
        <f>CONCATENATE("3071-0000-0417","")</f>
        <v>3071-0000-0417</v>
      </c>
      <c r="B7144" s="4" t="s">
        <v>601</v>
      </c>
      <c r="C7144" s="5">
        <v>41489</v>
      </c>
      <c r="D7144" s="5">
        <v>41549</v>
      </c>
      <c r="E7144" s="4" t="s">
        <v>7</v>
      </c>
      <c r="F7144" s="4" t="s">
        <v>7</v>
      </c>
    </row>
    <row r="7145" spans="1:6" x14ac:dyDescent="0.25">
      <c r="A7145" s="4" t="str">
        <f>CONCATENATE("3071-0000-6250","")</f>
        <v>3071-0000-6250</v>
      </c>
      <c r="B7145" s="4" t="s">
        <v>7502</v>
      </c>
      <c r="C7145" s="5">
        <v>41489</v>
      </c>
      <c r="D7145" s="5">
        <v>41549</v>
      </c>
      <c r="E7145" s="4" t="s">
        <v>1410</v>
      </c>
      <c r="F7145" s="4" t="s">
        <v>1410</v>
      </c>
    </row>
    <row r="7146" spans="1:6" x14ac:dyDescent="0.25">
      <c r="A7146" s="4" t="str">
        <f>CONCATENATE("3071-0000-5905","")</f>
        <v>3071-0000-5905</v>
      </c>
      <c r="B7146" s="4" t="s">
        <v>7612</v>
      </c>
      <c r="C7146" s="5">
        <v>41489</v>
      </c>
      <c r="D7146" s="5">
        <v>41549</v>
      </c>
      <c r="E7146" s="4" t="s">
        <v>5185</v>
      </c>
      <c r="F7146" s="4" t="s">
        <v>5185</v>
      </c>
    </row>
    <row r="7147" spans="1:6" x14ac:dyDescent="0.25">
      <c r="A7147" s="4" t="str">
        <f>CONCATENATE("3071-0000-8568","")</f>
        <v>3071-0000-8568</v>
      </c>
      <c r="B7147" s="4" t="s">
        <v>5745</v>
      </c>
      <c r="C7147" s="5">
        <v>41489</v>
      </c>
      <c r="D7147" s="5">
        <v>41549</v>
      </c>
      <c r="E7147" s="4" t="s">
        <v>5185</v>
      </c>
      <c r="F7147" s="4" t="s">
        <v>5250</v>
      </c>
    </row>
    <row r="7148" spans="1:6" x14ac:dyDescent="0.25">
      <c r="A7148" s="4" t="str">
        <f>CONCATENATE("3071-0000-5757","")</f>
        <v>3071-0000-5757</v>
      </c>
      <c r="B7148" s="4" t="s">
        <v>7538</v>
      </c>
      <c r="C7148" s="5">
        <v>41489</v>
      </c>
      <c r="D7148" s="5">
        <v>41549</v>
      </c>
      <c r="E7148" s="4" t="s">
        <v>5185</v>
      </c>
      <c r="F7148" s="4" t="s">
        <v>5185</v>
      </c>
    </row>
    <row r="7149" spans="1:6" x14ac:dyDescent="0.25">
      <c r="A7149" s="4" t="str">
        <f>CONCATENATE("3071-0000-5759","")</f>
        <v>3071-0000-5759</v>
      </c>
      <c r="B7149" s="4" t="s">
        <v>7540</v>
      </c>
      <c r="C7149" s="5">
        <v>41489</v>
      </c>
      <c r="D7149" s="5">
        <v>41549</v>
      </c>
      <c r="E7149" s="4" t="s">
        <v>5185</v>
      </c>
      <c r="F7149" s="4" t="s">
        <v>5185</v>
      </c>
    </row>
    <row r="7150" spans="1:6" x14ac:dyDescent="0.25">
      <c r="A7150" s="4" t="str">
        <f>CONCATENATE("3071-0000-6483","")</f>
        <v>3071-0000-6483</v>
      </c>
      <c r="B7150" s="4" t="s">
        <v>7782</v>
      </c>
      <c r="C7150" s="5">
        <v>41489</v>
      </c>
      <c r="D7150" s="5">
        <v>41549</v>
      </c>
      <c r="E7150" s="4" t="s">
        <v>5185</v>
      </c>
      <c r="F7150" s="4" t="s">
        <v>5185</v>
      </c>
    </row>
    <row r="7151" spans="1:6" x14ac:dyDescent="0.25">
      <c r="A7151" s="4" t="str">
        <f>CONCATENATE("3071-0000-7785","")</f>
        <v>3071-0000-7785</v>
      </c>
      <c r="B7151" s="4" t="s">
        <v>5634</v>
      </c>
      <c r="C7151" s="5">
        <v>41489</v>
      </c>
      <c r="D7151" s="5">
        <v>41549</v>
      </c>
      <c r="E7151" s="4" t="s">
        <v>5185</v>
      </c>
      <c r="F7151" s="4" t="s">
        <v>5250</v>
      </c>
    </row>
    <row r="7152" spans="1:6" x14ac:dyDescent="0.25">
      <c r="A7152" s="4" t="str">
        <f>CONCATENATE("3071-0000-8177","")</f>
        <v>3071-0000-8177</v>
      </c>
      <c r="B7152" s="4" t="s">
        <v>5629</v>
      </c>
      <c r="C7152" s="5">
        <v>41489</v>
      </c>
      <c r="D7152" s="5">
        <v>41549</v>
      </c>
      <c r="E7152" s="4" t="s">
        <v>5185</v>
      </c>
      <c r="F7152" s="4" t="s">
        <v>5185</v>
      </c>
    </row>
    <row r="7153" spans="1:6" x14ac:dyDescent="0.25">
      <c r="A7153" s="4" t="str">
        <f>CONCATENATE("3071-0000-5941","")</f>
        <v>3071-0000-5941</v>
      </c>
      <c r="B7153" s="4" t="s">
        <v>7299</v>
      </c>
      <c r="C7153" s="5">
        <v>41489</v>
      </c>
      <c r="D7153" s="5">
        <v>41549</v>
      </c>
      <c r="E7153" s="4" t="s">
        <v>5185</v>
      </c>
      <c r="F7153" s="4" t="s">
        <v>5185</v>
      </c>
    </row>
    <row r="7154" spans="1:6" x14ac:dyDescent="0.25">
      <c r="A7154" s="4" t="str">
        <f>CONCATENATE("3071-0000-4697","")</f>
        <v>3071-0000-4697</v>
      </c>
      <c r="B7154" s="4" t="s">
        <v>9635</v>
      </c>
      <c r="C7154" s="5">
        <v>41489</v>
      </c>
      <c r="D7154" s="5">
        <v>41549</v>
      </c>
      <c r="E7154" s="4" t="s">
        <v>1410</v>
      </c>
      <c r="F7154" s="4" t="s">
        <v>8696</v>
      </c>
    </row>
    <row r="7155" spans="1:6" x14ac:dyDescent="0.25">
      <c r="A7155" s="4" t="str">
        <f>CONCATENATE("3071-0000-4703","")</f>
        <v>3071-0000-4703</v>
      </c>
      <c r="B7155" s="4" t="s">
        <v>9642</v>
      </c>
      <c r="C7155" s="5">
        <v>41489</v>
      </c>
      <c r="D7155" s="5">
        <v>41549</v>
      </c>
      <c r="E7155" s="4" t="s">
        <v>1410</v>
      </c>
      <c r="F7155" s="4" t="s">
        <v>8696</v>
      </c>
    </row>
    <row r="7156" spans="1:6" x14ac:dyDescent="0.25">
      <c r="A7156" s="4" t="str">
        <f>CONCATENATE("3071-0000-1613","")</f>
        <v>3071-0000-1613</v>
      </c>
      <c r="B7156" s="4" t="s">
        <v>2309</v>
      </c>
      <c r="C7156" s="5">
        <v>41489</v>
      </c>
      <c r="D7156" s="5">
        <v>41549</v>
      </c>
      <c r="E7156" s="4" t="s">
        <v>1381</v>
      </c>
      <c r="F7156" s="4" t="s">
        <v>2303</v>
      </c>
    </row>
    <row r="7157" spans="1:6" x14ac:dyDescent="0.25">
      <c r="A7157" s="4" t="str">
        <f>CONCATENATE("3071-0000-1664","")</f>
        <v>3071-0000-1664</v>
      </c>
      <c r="B7157" s="4" t="s">
        <v>2311</v>
      </c>
      <c r="C7157" s="5">
        <v>41489</v>
      </c>
      <c r="D7157" s="5">
        <v>41549</v>
      </c>
      <c r="E7157" s="4" t="s">
        <v>1381</v>
      </c>
      <c r="F7157" s="4" t="s">
        <v>2301</v>
      </c>
    </row>
    <row r="7158" spans="1:6" x14ac:dyDescent="0.25">
      <c r="A7158" s="4" t="str">
        <f>CONCATENATE("3071-0000-1857","")</f>
        <v>3071-0000-1857</v>
      </c>
      <c r="B7158" s="4" t="s">
        <v>2305</v>
      </c>
      <c r="C7158" s="5">
        <v>41489</v>
      </c>
      <c r="D7158" s="5">
        <v>41549</v>
      </c>
      <c r="E7158" s="4" t="s">
        <v>1381</v>
      </c>
      <c r="F7158" s="4" t="s">
        <v>2301</v>
      </c>
    </row>
    <row r="7159" spans="1:6" x14ac:dyDescent="0.25">
      <c r="A7159" s="4" t="str">
        <f>CONCATENATE("3071-0000-3548","")</f>
        <v>3071-0000-3548</v>
      </c>
      <c r="B7159" s="4" t="s">
        <v>1701</v>
      </c>
      <c r="C7159" s="5">
        <v>41489</v>
      </c>
      <c r="D7159" s="5">
        <v>41549</v>
      </c>
      <c r="E7159" s="4" t="s">
        <v>1410</v>
      </c>
      <c r="F7159" s="4" t="s">
        <v>1411</v>
      </c>
    </row>
    <row r="7160" spans="1:6" x14ac:dyDescent="0.25">
      <c r="A7160" s="4" t="str">
        <f>CONCATENATE("3071-0000-4633","")</f>
        <v>3071-0000-4633</v>
      </c>
      <c r="B7160" s="4" t="s">
        <v>9389</v>
      </c>
      <c r="C7160" s="5">
        <v>41489</v>
      </c>
      <c r="D7160" s="5">
        <v>41549</v>
      </c>
      <c r="E7160" s="4" t="s">
        <v>7069</v>
      </c>
      <c r="F7160" s="4" t="s">
        <v>9210</v>
      </c>
    </row>
    <row r="7161" spans="1:6" x14ac:dyDescent="0.25">
      <c r="A7161" s="4" t="str">
        <f>CONCATENATE("3071-0000-3779","")</f>
        <v>3071-0000-3779</v>
      </c>
      <c r="B7161" s="4" t="s">
        <v>3821</v>
      </c>
      <c r="C7161" s="5">
        <v>41489</v>
      </c>
      <c r="D7161" s="5">
        <v>41549</v>
      </c>
      <c r="E7161" s="4" t="s">
        <v>7</v>
      </c>
      <c r="F7161" s="4" t="s">
        <v>3818</v>
      </c>
    </row>
    <row r="7162" spans="1:6" x14ac:dyDescent="0.25">
      <c r="A7162" s="4" t="str">
        <f>CONCATENATE("3071-0000-1602","")</f>
        <v>3071-0000-1602</v>
      </c>
      <c r="B7162" s="4" t="s">
        <v>2508</v>
      </c>
      <c r="C7162" s="5">
        <v>41489</v>
      </c>
      <c r="D7162" s="5">
        <v>41549</v>
      </c>
      <c r="E7162" s="4" t="s">
        <v>1381</v>
      </c>
      <c r="F7162" s="4" t="s">
        <v>2303</v>
      </c>
    </row>
    <row r="7163" spans="1:6" x14ac:dyDescent="0.25">
      <c r="A7163" s="4" t="str">
        <f>CONCATENATE("3071-0000-1787","")</f>
        <v>3071-0000-1787</v>
      </c>
      <c r="B7163" s="4" t="s">
        <v>2648</v>
      </c>
      <c r="C7163" s="5">
        <v>41489</v>
      </c>
      <c r="D7163" s="5">
        <v>41549</v>
      </c>
      <c r="E7163" s="4" t="s">
        <v>1381</v>
      </c>
      <c r="F7163" s="4" t="s">
        <v>2319</v>
      </c>
    </row>
    <row r="7164" spans="1:6" x14ac:dyDescent="0.25">
      <c r="A7164" s="4" t="str">
        <f>CONCATENATE("3071-0000-2379","")</f>
        <v>3071-0000-2379</v>
      </c>
      <c r="B7164" s="4" t="s">
        <v>3300</v>
      </c>
      <c r="C7164" s="5">
        <v>41489</v>
      </c>
      <c r="D7164" s="5">
        <v>41549</v>
      </c>
      <c r="E7164" s="4" t="s">
        <v>2944</v>
      </c>
      <c r="F7164" s="4" t="s">
        <v>3280</v>
      </c>
    </row>
    <row r="7165" spans="1:6" x14ac:dyDescent="0.25">
      <c r="A7165" s="4" t="str">
        <f>CONCATENATE("3071-0000-1735","")</f>
        <v>3071-0000-1735</v>
      </c>
      <c r="B7165" s="4" t="s">
        <v>2633</v>
      </c>
      <c r="C7165" s="5">
        <v>41489</v>
      </c>
      <c r="D7165" s="5">
        <v>41549</v>
      </c>
      <c r="E7165" s="4" t="s">
        <v>1381</v>
      </c>
      <c r="F7165" s="4" t="s">
        <v>2319</v>
      </c>
    </row>
    <row r="7166" spans="1:6" x14ac:dyDescent="0.25">
      <c r="A7166" s="4" t="str">
        <f>CONCATENATE("3071-0000-3594","")</f>
        <v>3071-0000-3594</v>
      </c>
      <c r="B7166" s="4" t="s">
        <v>1563</v>
      </c>
      <c r="C7166" s="5">
        <v>41489</v>
      </c>
      <c r="D7166" s="5">
        <v>41549</v>
      </c>
      <c r="E7166" s="4" t="s">
        <v>1410</v>
      </c>
      <c r="F7166" s="4" t="s">
        <v>1411</v>
      </c>
    </row>
    <row r="7167" spans="1:6" x14ac:dyDescent="0.25">
      <c r="A7167" s="4" t="str">
        <f>CONCATENATE("3071-0000-7097","")</f>
        <v>3071-0000-7097</v>
      </c>
      <c r="B7167" s="4" t="s">
        <v>4692</v>
      </c>
      <c r="C7167" s="5">
        <v>41489</v>
      </c>
      <c r="D7167" s="5">
        <v>41549</v>
      </c>
      <c r="E7167" s="4" t="s">
        <v>1410</v>
      </c>
      <c r="F7167" s="4" t="s">
        <v>1410</v>
      </c>
    </row>
    <row r="7168" spans="1:6" x14ac:dyDescent="0.25">
      <c r="A7168" s="4" t="str">
        <f>CONCATENATE("3071-0000-7610","")</f>
        <v>3071-0000-7610</v>
      </c>
      <c r="B7168" s="4" t="s">
        <v>4514</v>
      </c>
      <c r="C7168" s="5">
        <v>41489</v>
      </c>
      <c r="D7168" s="5">
        <v>41549</v>
      </c>
      <c r="E7168" s="4" t="s">
        <v>1410</v>
      </c>
      <c r="F7168" s="4" t="s">
        <v>1410</v>
      </c>
    </row>
    <row r="7169" spans="1:6" x14ac:dyDescent="0.25">
      <c r="A7169" s="4" t="str">
        <f>CONCATENATE("3071-0000-1389","")</f>
        <v>3071-0000-1389</v>
      </c>
      <c r="B7169" s="4" t="s">
        <v>2564</v>
      </c>
      <c r="C7169" s="5">
        <v>41489</v>
      </c>
      <c r="D7169" s="5">
        <v>41549</v>
      </c>
      <c r="E7169" s="4" t="s">
        <v>1381</v>
      </c>
      <c r="F7169" s="4" t="s">
        <v>2303</v>
      </c>
    </row>
    <row r="7170" spans="1:6" x14ac:dyDescent="0.25">
      <c r="A7170" s="4" t="str">
        <f>CONCATENATE("3071-0000-8008","")</f>
        <v>3071-0000-8008</v>
      </c>
      <c r="B7170" s="4" t="s">
        <v>5692</v>
      </c>
      <c r="C7170" s="5">
        <v>41489</v>
      </c>
      <c r="D7170" s="5">
        <v>41549</v>
      </c>
      <c r="E7170" s="4" t="s">
        <v>5185</v>
      </c>
      <c r="F7170" s="4" t="s">
        <v>5185</v>
      </c>
    </row>
    <row r="7171" spans="1:6" x14ac:dyDescent="0.25">
      <c r="A7171" s="4" t="str">
        <f>CONCATENATE("3071-0000-5839","")</f>
        <v>3071-0000-5839</v>
      </c>
      <c r="B7171" s="4" t="s">
        <v>7323</v>
      </c>
      <c r="C7171" s="5">
        <v>41489</v>
      </c>
      <c r="D7171" s="5">
        <v>41549</v>
      </c>
      <c r="E7171" s="4" t="s">
        <v>5185</v>
      </c>
      <c r="F7171" s="4" t="s">
        <v>5185</v>
      </c>
    </row>
    <row r="7172" spans="1:6" x14ac:dyDescent="0.25">
      <c r="A7172" s="4" t="str">
        <f>CONCATENATE("3071-0000-6977","")</f>
        <v>3071-0000-6977</v>
      </c>
      <c r="B7172" s="4" t="s">
        <v>4473</v>
      </c>
      <c r="C7172" s="5">
        <v>41489</v>
      </c>
      <c r="D7172" s="5">
        <v>41549</v>
      </c>
      <c r="E7172" s="4" t="s">
        <v>1410</v>
      </c>
      <c r="F7172" s="4" t="s">
        <v>1410</v>
      </c>
    </row>
    <row r="7173" spans="1:6" x14ac:dyDescent="0.25">
      <c r="A7173" s="4" t="str">
        <f>CONCATENATE("3071-0000-1670","")</f>
        <v>3071-0000-1670</v>
      </c>
      <c r="B7173" s="4" t="s">
        <v>2589</v>
      </c>
      <c r="C7173" s="5">
        <v>41489</v>
      </c>
      <c r="D7173" s="5">
        <v>41549</v>
      </c>
      <c r="E7173" s="4" t="s">
        <v>1381</v>
      </c>
      <c r="F7173" s="4" t="s">
        <v>2303</v>
      </c>
    </row>
    <row r="7174" spans="1:6" x14ac:dyDescent="0.25">
      <c r="A7174" s="4" t="str">
        <f>CONCATENATE("3071-0000-6086","")</f>
        <v>3071-0000-6086</v>
      </c>
      <c r="B7174" s="4" t="s">
        <v>6932</v>
      </c>
      <c r="C7174" s="5">
        <v>41489</v>
      </c>
      <c r="D7174" s="5">
        <v>41549</v>
      </c>
      <c r="E7174" s="4" t="s">
        <v>1410</v>
      </c>
      <c r="F7174" s="4" t="s">
        <v>4616</v>
      </c>
    </row>
    <row r="7175" spans="1:6" x14ac:dyDescent="0.25">
      <c r="A7175" s="4" t="str">
        <f>CONCATENATE("3071-0000-8174","")</f>
        <v>3071-0000-8174</v>
      </c>
      <c r="B7175" s="4" t="s">
        <v>5632</v>
      </c>
      <c r="C7175" s="5">
        <v>41489</v>
      </c>
      <c r="D7175" s="5">
        <v>41549</v>
      </c>
      <c r="E7175" s="4" t="s">
        <v>5185</v>
      </c>
      <c r="F7175" s="4" t="s">
        <v>5185</v>
      </c>
    </row>
    <row r="7176" spans="1:6" x14ac:dyDescent="0.25">
      <c r="A7176" s="4" t="str">
        <f>CONCATENATE("3071-0000-5298","")</f>
        <v>3071-0000-5298</v>
      </c>
      <c r="B7176" s="4" t="s">
        <v>6766</v>
      </c>
      <c r="C7176" s="5">
        <v>41489</v>
      </c>
      <c r="D7176" s="5">
        <v>41549</v>
      </c>
      <c r="E7176" s="4" t="s">
        <v>1410</v>
      </c>
      <c r="F7176" s="4" t="s">
        <v>6635</v>
      </c>
    </row>
    <row r="7177" spans="1:6" x14ac:dyDescent="0.25">
      <c r="A7177" s="4" t="str">
        <f>CONCATENATE("3071-0000-6930","")</f>
        <v>3071-0000-6930</v>
      </c>
      <c r="B7177" s="4" t="s">
        <v>4563</v>
      </c>
      <c r="C7177" s="5">
        <v>41489</v>
      </c>
      <c r="D7177" s="5">
        <v>41549</v>
      </c>
      <c r="E7177" s="4" t="s">
        <v>1410</v>
      </c>
      <c r="F7177" s="4" t="s">
        <v>1410</v>
      </c>
    </row>
    <row r="7178" spans="1:6" x14ac:dyDescent="0.25">
      <c r="A7178" s="4" t="str">
        <f>CONCATENATE("3071-0000-6943","")</f>
        <v>3071-0000-6943</v>
      </c>
      <c r="B7178" s="4" t="s">
        <v>4553</v>
      </c>
      <c r="C7178" s="5">
        <v>41489</v>
      </c>
      <c r="D7178" s="5">
        <v>41549</v>
      </c>
      <c r="E7178" s="4" t="s">
        <v>1410</v>
      </c>
      <c r="F7178" s="4" t="s">
        <v>1410</v>
      </c>
    </row>
    <row r="7179" spans="1:6" x14ac:dyDescent="0.25">
      <c r="A7179" s="4" t="str">
        <f>CONCATENATE("3071-0000-6859","")</f>
        <v>3071-0000-6859</v>
      </c>
      <c r="B7179" s="4" t="s">
        <v>7941</v>
      </c>
      <c r="C7179" s="5">
        <v>41489</v>
      </c>
      <c r="D7179" s="5">
        <v>41549</v>
      </c>
      <c r="E7179" s="4" t="s">
        <v>1410</v>
      </c>
      <c r="F7179" s="4" t="s">
        <v>4655</v>
      </c>
    </row>
    <row r="7180" spans="1:6" x14ac:dyDescent="0.25">
      <c r="A7180" s="4" t="str">
        <f>CONCATENATE("3071-0000-4128","")</f>
        <v>3071-0000-4128</v>
      </c>
      <c r="B7180" s="4" t="s">
        <v>4255</v>
      </c>
      <c r="C7180" s="5">
        <v>41489</v>
      </c>
      <c r="D7180" s="5">
        <v>41549</v>
      </c>
      <c r="E7180" s="4" t="s">
        <v>7</v>
      </c>
      <c r="F7180" s="4" t="s">
        <v>1419</v>
      </c>
    </row>
    <row r="7181" spans="1:6" x14ac:dyDescent="0.25">
      <c r="A7181" s="4" t="str">
        <f>CONCATENATE("3071-0000-2637","")</f>
        <v>3071-0000-2637</v>
      </c>
      <c r="B7181" s="4" t="s">
        <v>3775</v>
      </c>
      <c r="C7181" s="5">
        <v>41489</v>
      </c>
      <c r="D7181" s="5">
        <v>41549</v>
      </c>
      <c r="E7181" s="4" t="s">
        <v>2944</v>
      </c>
      <c r="F7181" s="4" t="s">
        <v>3115</v>
      </c>
    </row>
    <row r="7182" spans="1:6" x14ac:dyDescent="0.25">
      <c r="A7182" s="4" t="str">
        <f>CONCATENATE("3071-0000-6683","")</f>
        <v>3071-0000-6683</v>
      </c>
      <c r="B7182" s="4" t="s">
        <v>8042</v>
      </c>
      <c r="C7182" s="5">
        <v>41489</v>
      </c>
      <c r="D7182" s="5">
        <v>41549</v>
      </c>
      <c r="E7182" s="4" t="s">
        <v>5185</v>
      </c>
      <c r="F7182" s="4" t="s">
        <v>5185</v>
      </c>
    </row>
    <row r="7183" spans="1:6" x14ac:dyDescent="0.25">
      <c r="A7183" s="4" t="str">
        <f>CONCATENATE("3071-0000-6546","")</f>
        <v>3071-0000-6546</v>
      </c>
      <c r="B7183" s="4" t="s">
        <v>7793</v>
      </c>
      <c r="C7183" s="5">
        <v>41489</v>
      </c>
      <c r="D7183" s="5">
        <v>41549</v>
      </c>
      <c r="E7183" s="4" t="s">
        <v>5185</v>
      </c>
      <c r="F7183" s="4" t="s">
        <v>5185</v>
      </c>
    </row>
    <row r="7184" spans="1:6" x14ac:dyDescent="0.25">
      <c r="A7184" s="4" t="str">
        <f>CONCATENATE("3071-0000-0989","")</f>
        <v>3071-0000-0989</v>
      </c>
      <c r="B7184" s="4" t="s">
        <v>2196</v>
      </c>
      <c r="C7184" s="5">
        <v>41489</v>
      </c>
      <c r="D7184" s="5">
        <v>41549</v>
      </c>
      <c r="E7184" s="4" t="s">
        <v>1857</v>
      </c>
      <c r="F7184" s="4" t="s">
        <v>1857</v>
      </c>
    </row>
    <row r="7185" spans="1:6" x14ac:dyDescent="0.25">
      <c r="A7185" s="4" t="str">
        <f>CONCATENATE("3071-0000-5762","")</f>
        <v>3071-0000-5762</v>
      </c>
      <c r="B7185" s="4" t="s">
        <v>7493</v>
      </c>
      <c r="C7185" s="5">
        <v>41489</v>
      </c>
      <c r="D7185" s="5">
        <v>41549</v>
      </c>
      <c r="E7185" s="4" t="s">
        <v>5185</v>
      </c>
      <c r="F7185" s="4" t="s">
        <v>5185</v>
      </c>
    </row>
    <row r="7186" spans="1:6" x14ac:dyDescent="0.25">
      <c r="A7186" s="4" t="str">
        <f>CONCATENATE("3071-0000-6133","")</f>
        <v>3071-0000-6133</v>
      </c>
      <c r="B7186" s="4" t="s">
        <v>7653</v>
      </c>
      <c r="C7186" s="5">
        <v>41489</v>
      </c>
      <c r="D7186" s="5">
        <v>41549</v>
      </c>
      <c r="E7186" s="4" t="s">
        <v>1410</v>
      </c>
      <c r="F7186" s="4" t="s">
        <v>1410</v>
      </c>
    </row>
    <row r="7187" spans="1:6" x14ac:dyDescent="0.25">
      <c r="A7187" s="4" t="str">
        <f>CONCATENATE("3071-0000-6124","")</f>
        <v>3071-0000-6124</v>
      </c>
      <c r="B7187" s="4" t="s">
        <v>7655</v>
      </c>
      <c r="C7187" s="5">
        <v>41489</v>
      </c>
      <c r="D7187" s="5">
        <v>41549</v>
      </c>
      <c r="E7187" s="4" t="s">
        <v>1410</v>
      </c>
      <c r="F7187" s="4" t="s">
        <v>1410</v>
      </c>
    </row>
    <row r="7188" spans="1:6" x14ac:dyDescent="0.25">
      <c r="A7188" s="4" t="str">
        <f>CONCATENATE("3071-0000-6185","")</f>
        <v>3071-0000-6185</v>
      </c>
      <c r="B7188" s="4" t="s">
        <v>7738</v>
      </c>
      <c r="C7188" s="5">
        <v>41489</v>
      </c>
      <c r="D7188" s="5">
        <v>41549</v>
      </c>
      <c r="E7188" s="4" t="s">
        <v>1410</v>
      </c>
      <c r="F7188" s="4" t="s">
        <v>1410</v>
      </c>
    </row>
    <row r="7189" spans="1:6" x14ac:dyDescent="0.25">
      <c r="A7189" s="4" t="str">
        <f>CONCATENATE("3071-0000-6698","")</f>
        <v>3071-0000-6698</v>
      </c>
      <c r="B7189" s="4" t="s">
        <v>8048</v>
      </c>
      <c r="C7189" s="5">
        <v>41489</v>
      </c>
      <c r="D7189" s="5">
        <v>41549</v>
      </c>
      <c r="E7189" s="4" t="s">
        <v>5185</v>
      </c>
      <c r="F7189" s="4" t="s">
        <v>5185</v>
      </c>
    </row>
    <row r="7190" spans="1:6" x14ac:dyDescent="0.25">
      <c r="A7190" s="4" t="str">
        <f>CONCATENATE("3071-0000-5811","")</f>
        <v>3071-0000-5811</v>
      </c>
      <c r="B7190" s="4" t="s">
        <v>7511</v>
      </c>
      <c r="C7190" s="5">
        <v>41489</v>
      </c>
      <c r="D7190" s="5">
        <v>41549</v>
      </c>
      <c r="E7190" s="4" t="s">
        <v>5185</v>
      </c>
      <c r="F7190" s="4" t="s">
        <v>5185</v>
      </c>
    </row>
    <row r="7191" spans="1:6" x14ac:dyDescent="0.25">
      <c r="A7191" s="4" t="str">
        <f>CONCATENATE("3071-0000-5810","")</f>
        <v>3071-0000-5810</v>
      </c>
      <c r="B7191" s="4" t="s">
        <v>7510</v>
      </c>
      <c r="C7191" s="5">
        <v>41489</v>
      </c>
      <c r="D7191" s="5">
        <v>41549</v>
      </c>
      <c r="E7191" s="4" t="s">
        <v>5185</v>
      </c>
      <c r="F7191" s="4" t="s">
        <v>5185</v>
      </c>
    </row>
    <row r="7192" spans="1:6" x14ac:dyDescent="0.25">
      <c r="A7192" s="4" t="str">
        <f>CONCATENATE("3071-0000-9160","")</f>
        <v>3071-0000-9160</v>
      </c>
      <c r="B7192" s="4" t="s">
        <v>5950</v>
      </c>
      <c r="C7192" s="5">
        <v>41489</v>
      </c>
      <c r="D7192" s="5">
        <v>41549</v>
      </c>
      <c r="E7192" s="4" t="s">
        <v>5185</v>
      </c>
      <c r="F7192" s="4" t="s">
        <v>5945</v>
      </c>
    </row>
    <row r="7193" spans="1:6" x14ac:dyDescent="0.25">
      <c r="A7193" s="4" t="str">
        <f>CONCATENATE("3071-0000-7426","")</f>
        <v>3071-0000-7426</v>
      </c>
      <c r="B7193" s="4" t="s">
        <v>4649</v>
      </c>
      <c r="C7193" s="5">
        <v>41489</v>
      </c>
      <c r="D7193" s="5">
        <v>41549</v>
      </c>
      <c r="E7193" s="4" t="s">
        <v>1410</v>
      </c>
      <c r="F7193" s="4" t="s">
        <v>1410</v>
      </c>
    </row>
    <row r="7194" spans="1:6" x14ac:dyDescent="0.25">
      <c r="A7194" s="4" t="str">
        <f>CONCATENATE("3071-0000-2341","")</f>
        <v>3071-0000-2341</v>
      </c>
      <c r="B7194" s="4" t="s">
        <v>3217</v>
      </c>
      <c r="C7194" s="5">
        <v>41489</v>
      </c>
      <c r="D7194" s="5">
        <v>41549</v>
      </c>
      <c r="E7194" s="4" t="s">
        <v>2944</v>
      </c>
      <c r="F7194" s="4" t="s">
        <v>2945</v>
      </c>
    </row>
    <row r="7195" spans="1:6" x14ac:dyDescent="0.25">
      <c r="A7195" s="4" t="str">
        <f>CONCATENATE("3071-0000-2420","")</f>
        <v>3071-0000-2420</v>
      </c>
      <c r="B7195" s="4" t="s">
        <v>3003</v>
      </c>
      <c r="C7195" s="5">
        <v>41489</v>
      </c>
      <c r="D7195" s="5">
        <v>41549</v>
      </c>
      <c r="E7195" s="4" t="s">
        <v>2944</v>
      </c>
      <c r="F7195" s="4" t="s">
        <v>2945</v>
      </c>
    </row>
    <row r="7196" spans="1:6" x14ac:dyDescent="0.25">
      <c r="A7196" s="4" t="str">
        <f>CONCATENATE("3071-0000-8929","")</f>
        <v>3071-0000-8929</v>
      </c>
      <c r="B7196" s="4" t="s">
        <v>5340</v>
      </c>
      <c r="C7196" s="5">
        <v>41489</v>
      </c>
      <c r="D7196" s="5">
        <v>41549</v>
      </c>
      <c r="E7196" s="4" t="s">
        <v>1410</v>
      </c>
      <c r="F7196" s="4" t="s">
        <v>4616</v>
      </c>
    </row>
    <row r="7197" spans="1:6" x14ac:dyDescent="0.25">
      <c r="A7197" s="4" t="str">
        <f>CONCATENATE("3071-0000-0693","")</f>
        <v>3071-0000-0693</v>
      </c>
      <c r="B7197" s="4" t="s">
        <v>292</v>
      </c>
      <c r="C7197" s="5">
        <v>41489</v>
      </c>
      <c r="D7197" s="5">
        <v>41549</v>
      </c>
      <c r="E7197" s="4" t="s">
        <v>7</v>
      </c>
      <c r="F7197" s="4" t="s">
        <v>7</v>
      </c>
    </row>
    <row r="7198" spans="1:6" x14ac:dyDescent="0.25">
      <c r="A7198" s="4" t="str">
        <f>CONCATENATE("3071-0000-2319","")</f>
        <v>3071-0000-2319</v>
      </c>
      <c r="B7198" s="4" t="s">
        <v>3723</v>
      </c>
      <c r="C7198" s="5">
        <v>41489</v>
      </c>
      <c r="D7198" s="5">
        <v>41549</v>
      </c>
      <c r="E7198" s="4" t="s">
        <v>2944</v>
      </c>
      <c r="F7198" s="4" t="s">
        <v>2945</v>
      </c>
    </row>
    <row r="7199" spans="1:6" x14ac:dyDescent="0.25">
      <c r="A7199" s="4" t="str">
        <f>CONCATENATE("3071-0000-9552","")</f>
        <v>3071-0000-9552</v>
      </c>
      <c r="B7199" s="4" t="s">
        <v>8644</v>
      </c>
      <c r="C7199" s="5">
        <v>41489</v>
      </c>
      <c r="D7199" s="5">
        <v>41549</v>
      </c>
      <c r="E7199" s="4" t="s">
        <v>1410</v>
      </c>
      <c r="F7199" s="4" t="s">
        <v>4459</v>
      </c>
    </row>
    <row r="7200" spans="1:6" x14ac:dyDescent="0.25">
      <c r="A7200" s="4" t="str">
        <f>CONCATENATE("3071-0000-4039","")</f>
        <v>3071-0000-4039</v>
      </c>
      <c r="B7200" s="4" t="s">
        <v>3975</v>
      </c>
      <c r="C7200" s="5">
        <v>41489</v>
      </c>
      <c r="D7200" s="5">
        <v>41549</v>
      </c>
      <c r="E7200" s="4" t="s">
        <v>7</v>
      </c>
      <c r="F7200" s="4" t="s">
        <v>1419</v>
      </c>
    </row>
    <row r="7201" spans="1:6" x14ac:dyDescent="0.25">
      <c r="A7201" s="4" t="str">
        <f>CONCATENATE("3071-0000-8810","")</f>
        <v>3071-0000-8810</v>
      </c>
      <c r="B7201" s="4" t="s">
        <v>6608</v>
      </c>
      <c r="C7201" s="5">
        <v>41489</v>
      </c>
      <c r="D7201" s="5">
        <v>41549</v>
      </c>
      <c r="E7201" s="4" t="s">
        <v>5185</v>
      </c>
      <c r="F7201" s="4" t="s">
        <v>5292</v>
      </c>
    </row>
    <row r="7202" spans="1:6" x14ac:dyDescent="0.25">
      <c r="A7202" s="4" t="str">
        <f>CONCATENATE("3071-0000-8813","")</f>
        <v>3071-0000-8813</v>
      </c>
      <c r="B7202" s="4" t="s">
        <v>6604</v>
      </c>
      <c r="C7202" s="5">
        <v>41489</v>
      </c>
      <c r="D7202" s="5">
        <v>41549</v>
      </c>
      <c r="E7202" s="4" t="s">
        <v>5185</v>
      </c>
      <c r="F7202" s="4" t="s">
        <v>5292</v>
      </c>
    </row>
    <row r="7203" spans="1:6" x14ac:dyDescent="0.25">
      <c r="A7203" s="4" t="str">
        <f>CONCATENATE("3071-0000-7028","")</f>
        <v>3071-0000-7028</v>
      </c>
      <c r="B7203" s="4" t="s">
        <v>4810</v>
      </c>
      <c r="C7203" s="5">
        <v>41489</v>
      </c>
      <c r="D7203" s="5">
        <v>41549</v>
      </c>
      <c r="E7203" s="4" t="s">
        <v>1410</v>
      </c>
      <c r="F7203" s="4" t="s">
        <v>1410</v>
      </c>
    </row>
    <row r="7204" spans="1:6" x14ac:dyDescent="0.25">
      <c r="A7204" s="4" t="str">
        <f>CONCATENATE("3071-0000-6088","")</f>
        <v>3071-0000-6088</v>
      </c>
      <c r="B7204" s="4" t="s">
        <v>6931</v>
      </c>
      <c r="C7204" s="5">
        <v>41489</v>
      </c>
      <c r="D7204" s="5">
        <v>41549</v>
      </c>
      <c r="E7204" s="4" t="s">
        <v>1410</v>
      </c>
      <c r="F7204" s="4" t="s">
        <v>4616</v>
      </c>
    </row>
    <row r="7205" spans="1:6" x14ac:dyDescent="0.25">
      <c r="A7205" s="4" t="str">
        <f>CONCATENATE("3071-0000-6904","")</f>
        <v>3071-0000-6904</v>
      </c>
      <c r="B7205" s="4" t="s">
        <v>4273</v>
      </c>
      <c r="C7205" s="5">
        <v>41489</v>
      </c>
      <c r="D7205" s="5">
        <v>41549</v>
      </c>
      <c r="E7205" s="4" t="s">
        <v>1410</v>
      </c>
      <c r="F7205" s="4" t="s">
        <v>1410</v>
      </c>
    </row>
    <row r="7206" spans="1:6" x14ac:dyDescent="0.25">
      <c r="A7206" s="4" t="str">
        <f>CONCATENATE("3071-0000-3888","")</f>
        <v>3071-0000-3888</v>
      </c>
      <c r="B7206" s="4" t="s">
        <v>4192</v>
      </c>
      <c r="C7206" s="5">
        <v>41489</v>
      </c>
      <c r="D7206" s="5">
        <v>41549</v>
      </c>
      <c r="E7206" s="4" t="s">
        <v>2944</v>
      </c>
      <c r="F7206" s="4" t="s">
        <v>3513</v>
      </c>
    </row>
    <row r="7207" spans="1:6" x14ac:dyDescent="0.25">
      <c r="A7207" s="4" t="str">
        <f>CONCATENATE("3071-0000-6805","")</f>
        <v>3071-0000-6805</v>
      </c>
      <c r="B7207" s="4" t="s">
        <v>7842</v>
      </c>
      <c r="C7207" s="5">
        <v>41489</v>
      </c>
      <c r="D7207" s="5">
        <v>41549</v>
      </c>
      <c r="E7207" s="4" t="s">
        <v>1410</v>
      </c>
      <c r="F7207" s="4" t="s">
        <v>4655</v>
      </c>
    </row>
    <row r="7208" spans="1:6" x14ac:dyDescent="0.25">
      <c r="A7208" s="4" t="str">
        <f>CONCATENATE("3071-0000-7637","")</f>
        <v>3071-0000-7637</v>
      </c>
      <c r="B7208" s="4" t="s">
        <v>5170</v>
      </c>
      <c r="C7208" s="5">
        <v>41489</v>
      </c>
      <c r="D7208" s="5">
        <v>41549</v>
      </c>
      <c r="E7208" s="4" t="s">
        <v>1410</v>
      </c>
      <c r="F7208" s="4" t="s">
        <v>4616</v>
      </c>
    </row>
    <row r="7209" spans="1:6" x14ac:dyDescent="0.25">
      <c r="A7209" s="4" t="str">
        <f>CONCATENATE("3071-0000-7630","")</f>
        <v>3071-0000-7630</v>
      </c>
      <c r="B7209" s="4" t="s">
        <v>5173</v>
      </c>
      <c r="C7209" s="5">
        <v>41489</v>
      </c>
      <c r="D7209" s="5">
        <v>41549</v>
      </c>
      <c r="E7209" s="4" t="s">
        <v>1410</v>
      </c>
      <c r="F7209" s="4" t="s">
        <v>4616</v>
      </c>
    </row>
    <row r="7210" spans="1:6" x14ac:dyDescent="0.25">
      <c r="A7210" s="4" t="str">
        <f>CONCATENATE("3071-0000-3242","")</f>
        <v>3071-0000-3242</v>
      </c>
      <c r="B7210" s="4" t="s">
        <v>1157</v>
      </c>
      <c r="C7210" s="5">
        <v>41489</v>
      </c>
      <c r="D7210" s="5">
        <v>41549</v>
      </c>
      <c r="E7210" s="4" t="s">
        <v>7</v>
      </c>
      <c r="F7210" s="4" t="s">
        <v>808</v>
      </c>
    </row>
    <row r="7211" spans="1:6" x14ac:dyDescent="0.25">
      <c r="A7211" s="4" t="str">
        <f>CONCATENATE("3071-0000-8985","")</f>
        <v>3071-0000-8985</v>
      </c>
      <c r="B7211" s="4" t="s">
        <v>5313</v>
      </c>
      <c r="C7211" s="5">
        <v>41489</v>
      </c>
      <c r="D7211" s="5">
        <v>41549</v>
      </c>
      <c r="E7211" s="4" t="s">
        <v>1410</v>
      </c>
      <c r="F7211" s="4" t="s">
        <v>4616</v>
      </c>
    </row>
    <row r="7212" spans="1:6" x14ac:dyDescent="0.25">
      <c r="A7212" s="4" t="str">
        <f>CONCATENATE("3071-0000-8529","")</f>
        <v>3071-0000-8529</v>
      </c>
      <c r="B7212" s="4" t="s">
        <v>5663</v>
      </c>
      <c r="C7212" s="5">
        <v>41489</v>
      </c>
      <c r="D7212" s="5">
        <v>41549</v>
      </c>
      <c r="E7212" s="4" t="s">
        <v>5185</v>
      </c>
      <c r="F7212" s="4" t="s">
        <v>5250</v>
      </c>
    </row>
    <row r="7213" spans="1:6" x14ac:dyDescent="0.25">
      <c r="A7213" s="4" t="str">
        <f>CONCATENATE("3071-0000-5241","")</f>
        <v>3071-0000-5241</v>
      </c>
      <c r="B7213" s="4" t="s">
        <v>6716</v>
      </c>
      <c r="C7213" s="5">
        <v>41489</v>
      </c>
      <c r="D7213" s="5">
        <v>41549</v>
      </c>
      <c r="E7213" s="4" t="s">
        <v>5185</v>
      </c>
      <c r="F7213" s="4" t="s">
        <v>5185</v>
      </c>
    </row>
    <row r="7214" spans="1:6" x14ac:dyDescent="0.25">
      <c r="A7214" s="4" t="str">
        <f>CONCATENATE("3071-0000-7835","")</f>
        <v>3071-0000-7835</v>
      </c>
      <c r="B7214" s="4" t="s">
        <v>5825</v>
      </c>
      <c r="C7214" s="5">
        <v>41489</v>
      </c>
      <c r="D7214" s="5">
        <v>41549</v>
      </c>
      <c r="E7214" s="4" t="s">
        <v>5185</v>
      </c>
      <c r="F7214" s="4" t="s">
        <v>5185</v>
      </c>
    </row>
    <row r="7215" spans="1:6" x14ac:dyDescent="0.25">
      <c r="A7215" s="4" t="str">
        <f>CONCATENATE("3071-0000-5340","")</f>
        <v>3071-0000-5340</v>
      </c>
      <c r="B7215" s="4" t="s">
        <v>6717</v>
      </c>
      <c r="C7215" s="5">
        <v>41489</v>
      </c>
      <c r="D7215" s="5">
        <v>41549</v>
      </c>
      <c r="E7215" s="4" t="s">
        <v>1410</v>
      </c>
      <c r="F7215" s="4" t="s">
        <v>6635</v>
      </c>
    </row>
    <row r="7216" spans="1:6" x14ac:dyDescent="0.25">
      <c r="A7216" s="4" t="str">
        <f>CONCATENATE("3071-0000-8896","")</f>
        <v>3071-0000-8896</v>
      </c>
      <c r="B7216" s="4" t="s">
        <v>5626</v>
      </c>
      <c r="C7216" s="5">
        <v>41489</v>
      </c>
      <c r="D7216" s="5">
        <v>41549</v>
      </c>
      <c r="E7216" s="4" t="s">
        <v>5185</v>
      </c>
      <c r="F7216" s="4" t="s">
        <v>5250</v>
      </c>
    </row>
    <row r="7217" spans="1:6" x14ac:dyDescent="0.25">
      <c r="A7217" s="4" t="str">
        <f>CONCATENATE("3071-0000-3669","")</f>
        <v>3071-0000-3669</v>
      </c>
      <c r="B7217" s="4" t="s">
        <v>1680</v>
      </c>
      <c r="C7217" s="5">
        <v>41489</v>
      </c>
      <c r="D7217" s="5">
        <v>41549</v>
      </c>
      <c r="E7217" s="4" t="s">
        <v>1410</v>
      </c>
      <c r="F7217" s="4" t="s">
        <v>1601</v>
      </c>
    </row>
    <row r="7218" spans="1:6" x14ac:dyDescent="0.25">
      <c r="A7218" s="4" t="str">
        <f>CONCATENATE("3071-0000-3556","")</f>
        <v>3071-0000-3556</v>
      </c>
      <c r="B7218" s="4" t="s">
        <v>1496</v>
      </c>
      <c r="C7218" s="5">
        <v>41489</v>
      </c>
      <c r="D7218" s="5">
        <v>41549</v>
      </c>
      <c r="E7218" s="4" t="s">
        <v>1410</v>
      </c>
      <c r="F7218" s="4" t="s">
        <v>1411</v>
      </c>
    </row>
    <row r="7219" spans="1:6" x14ac:dyDescent="0.25">
      <c r="A7219" s="4" t="str">
        <f>CONCATENATE("3071-0000-5242","")</f>
        <v>3071-0000-5242</v>
      </c>
      <c r="B7219" s="4" t="s">
        <v>6718</v>
      </c>
      <c r="C7219" s="5">
        <v>41489</v>
      </c>
      <c r="D7219" s="5">
        <v>41549</v>
      </c>
      <c r="E7219" s="4" t="s">
        <v>5185</v>
      </c>
      <c r="F7219" s="4" t="s">
        <v>5185</v>
      </c>
    </row>
    <row r="7220" spans="1:6" x14ac:dyDescent="0.25">
      <c r="A7220" s="4" t="str">
        <f>CONCATENATE("3071-0000-8908","")</f>
        <v>3071-0000-8908</v>
      </c>
      <c r="B7220" s="4" t="s">
        <v>5569</v>
      </c>
      <c r="C7220" s="5">
        <v>41489</v>
      </c>
      <c r="D7220" s="5">
        <v>41549</v>
      </c>
      <c r="E7220" s="4" t="s">
        <v>5185</v>
      </c>
      <c r="F7220" s="4" t="s">
        <v>5250</v>
      </c>
    </row>
    <row r="7221" spans="1:6" x14ac:dyDescent="0.25">
      <c r="A7221" s="4" t="str">
        <f>CONCATENATE("3071-0000-6128","")</f>
        <v>3071-0000-6128</v>
      </c>
      <c r="B7221" s="4" t="s">
        <v>7654</v>
      </c>
      <c r="C7221" s="5">
        <v>41489</v>
      </c>
      <c r="D7221" s="5">
        <v>41549</v>
      </c>
      <c r="E7221" s="4" t="s">
        <v>1410</v>
      </c>
      <c r="F7221" s="4" t="s">
        <v>1410</v>
      </c>
    </row>
    <row r="7222" spans="1:6" x14ac:dyDescent="0.25">
      <c r="A7222" s="4" t="str">
        <f>CONCATENATE("3071-0000-6555","")</f>
        <v>3071-0000-6555</v>
      </c>
      <c r="B7222" s="4" t="s">
        <v>7804</v>
      </c>
      <c r="C7222" s="5">
        <v>41489</v>
      </c>
      <c r="D7222" s="5">
        <v>41549</v>
      </c>
      <c r="E7222" s="4" t="s">
        <v>5185</v>
      </c>
      <c r="F7222" s="4" t="s">
        <v>5185</v>
      </c>
    </row>
    <row r="7223" spans="1:6" x14ac:dyDescent="0.25">
      <c r="A7223" s="4" t="str">
        <f>CONCATENATE("3071-0000-9143","")</f>
        <v>3071-0000-9143</v>
      </c>
      <c r="B7223" s="4" t="s">
        <v>6605</v>
      </c>
      <c r="C7223" s="5">
        <v>41489</v>
      </c>
      <c r="D7223" s="5">
        <v>41549</v>
      </c>
      <c r="E7223" s="4" t="s">
        <v>5185</v>
      </c>
      <c r="F7223" s="4" t="s">
        <v>5292</v>
      </c>
    </row>
    <row r="7224" spans="1:6" x14ac:dyDescent="0.25">
      <c r="A7224" s="4" t="str">
        <f>CONCATENATE("3071-0000-7557","")</f>
        <v>3071-0000-7557</v>
      </c>
      <c r="B7224" s="4" t="s">
        <v>4386</v>
      </c>
      <c r="C7224" s="5">
        <v>41489</v>
      </c>
      <c r="D7224" s="5">
        <v>41549</v>
      </c>
      <c r="E7224" s="4" t="s">
        <v>1410</v>
      </c>
      <c r="F7224" s="4" t="s">
        <v>1410</v>
      </c>
    </row>
    <row r="7225" spans="1:6" x14ac:dyDescent="0.25">
      <c r="A7225" s="4" t="str">
        <f>CONCATENATE("3071-0000-6377","")</f>
        <v>3071-0000-6377</v>
      </c>
      <c r="B7225" s="4" t="s">
        <v>7909</v>
      </c>
      <c r="C7225" s="5">
        <v>41489</v>
      </c>
      <c r="D7225" s="5">
        <v>41549</v>
      </c>
      <c r="E7225" s="4" t="s">
        <v>5185</v>
      </c>
      <c r="F7225" s="4" t="s">
        <v>5185</v>
      </c>
    </row>
    <row r="7226" spans="1:6" x14ac:dyDescent="0.25">
      <c r="A7226" s="4" t="str">
        <f>CONCATENATE("3071-0000-5780","")</f>
        <v>3071-0000-5780</v>
      </c>
      <c r="B7226" s="4" t="s">
        <v>7509</v>
      </c>
      <c r="C7226" s="5">
        <v>41489</v>
      </c>
      <c r="D7226" s="5">
        <v>41549</v>
      </c>
      <c r="E7226" s="4" t="s">
        <v>5185</v>
      </c>
      <c r="F7226" s="4" t="s">
        <v>5185</v>
      </c>
    </row>
    <row r="7227" spans="1:6" x14ac:dyDescent="0.25">
      <c r="A7227" s="4" t="str">
        <f>CONCATENATE("3071-0000-6832","")</f>
        <v>3071-0000-6832</v>
      </c>
      <c r="B7227" s="4" t="s">
        <v>7846</v>
      </c>
      <c r="C7227" s="5">
        <v>41489</v>
      </c>
      <c r="D7227" s="5">
        <v>41549</v>
      </c>
      <c r="E7227" s="4" t="s">
        <v>1410</v>
      </c>
      <c r="F7227" s="4" t="s">
        <v>4655</v>
      </c>
    </row>
    <row r="7228" spans="1:6" x14ac:dyDescent="0.25">
      <c r="A7228" s="4" t="str">
        <f>CONCATENATE("3071-0000-3559","")</f>
        <v>3071-0000-3559</v>
      </c>
      <c r="B7228" s="4" t="s">
        <v>1688</v>
      </c>
      <c r="C7228" s="5">
        <v>41489</v>
      </c>
      <c r="D7228" s="5">
        <v>41549</v>
      </c>
      <c r="E7228" s="4" t="s">
        <v>1410</v>
      </c>
      <c r="F7228" s="4" t="s">
        <v>1411</v>
      </c>
    </row>
    <row r="7229" spans="1:6" x14ac:dyDescent="0.25">
      <c r="A7229" s="4" t="str">
        <f>CONCATENATE("3071-0000-8701","")</f>
        <v>3071-0000-8701</v>
      </c>
      <c r="B7229" s="4" t="s">
        <v>6489</v>
      </c>
      <c r="C7229" s="5">
        <v>41489</v>
      </c>
      <c r="D7229" s="5">
        <v>41549</v>
      </c>
      <c r="E7229" s="4" t="s">
        <v>5185</v>
      </c>
      <c r="F7229" s="4" t="s">
        <v>5292</v>
      </c>
    </row>
    <row r="7230" spans="1:6" x14ac:dyDescent="0.25">
      <c r="A7230" s="4" t="str">
        <f>CONCATENATE("3071-0000-8057","")</f>
        <v>3071-0000-8057</v>
      </c>
      <c r="B7230" s="4" t="s">
        <v>5758</v>
      </c>
      <c r="C7230" s="5">
        <v>41489</v>
      </c>
      <c r="D7230" s="5">
        <v>41549</v>
      </c>
      <c r="E7230" s="4" t="s">
        <v>5185</v>
      </c>
      <c r="F7230" s="4" t="s">
        <v>5250</v>
      </c>
    </row>
    <row r="7231" spans="1:6" x14ac:dyDescent="0.25">
      <c r="A7231" s="4" t="str">
        <f>CONCATENATE("3071-0000-8179","")</f>
        <v>3071-0000-8179</v>
      </c>
      <c r="B7231" s="4" t="s">
        <v>5630</v>
      </c>
      <c r="C7231" s="5">
        <v>41489</v>
      </c>
      <c r="D7231" s="5">
        <v>41549</v>
      </c>
      <c r="E7231" s="4" t="s">
        <v>5185</v>
      </c>
      <c r="F7231" s="4" t="s">
        <v>5185</v>
      </c>
    </row>
    <row r="7232" spans="1:6" x14ac:dyDescent="0.25">
      <c r="A7232" s="4" t="str">
        <f>CONCATENATE("3071-0000-8712","")</f>
        <v>3071-0000-8712</v>
      </c>
      <c r="B7232" s="4" t="s">
        <v>6479</v>
      </c>
      <c r="C7232" s="5">
        <v>41489</v>
      </c>
      <c r="D7232" s="5">
        <v>41549</v>
      </c>
      <c r="E7232" s="4" t="s">
        <v>5185</v>
      </c>
      <c r="F7232" s="4" t="s">
        <v>5292</v>
      </c>
    </row>
    <row r="7233" spans="1:6" x14ac:dyDescent="0.25">
      <c r="A7233" s="4" t="str">
        <f>CONCATENATE("3071-0000-1378","")</f>
        <v>3071-0000-1378</v>
      </c>
      <c r="B7233" s="4" t="s">
        <v>2553</v>
      </c>
      <c r="C7233" s="5">
        <v>41489</v>
      </c>
      <c r="D7233" s="5">
        <v>41549</v>
      </c>
      <c r="E7233" s="4" t="s">
        <v>1381</v>
      </c>
      <c r="F7233" s="4" t="s">
        <v>2303</v>
      </c>
    </row>
    <row r="7234" spans="1:6" x14ac:dyDescent="0.25">
      <c r="A7234" s="4" t="str">
        <f>CONCATENATE("3071-0000-6744","")</f>
        <v>3071-0000-6744</v>
      </c>
      <c r="B7234" s="4" t="s">
        <v>8025</v>
      </c>
      <c r="C7234" s="5">
        <v>41489</v>
      </c>
      <c r="D7234" s="5">
        <v>41549</v>
      </c>
      <c r="E7234" s="4" t="s">
        <v>5185</v>
      </c>
      <c r="F7234" s="4" t="s">
        <v>5185</v>
      </c>
    </row>
    <row r="7235" spans="1:6" x14ac:dyDescent="0.25">
      <c r="A7235" s="4" t="str">
        <f>CONCATENATE("3071-0000-5993","")</f>
        <v>3071-0000-5993</v>
      </c>
      <c r="B7235" s="4" t="s">
        <v>6962</v>
      </c>
      <c r="C7235" s="5">
        <v>41489</v>
      </c>
      <c r="D7235" s="5">
        <v>41549</v>
      </c>
      <c r="E7235" s="4" t="s">
        <v>5185</v>
      </c>
      <c r="F7235" s="4" t="s">
        <v>5185</v>
      </c>
    </row>
    <row r="7236" spans="1:6" x14ac:dyDescent="0.25">
      <c r="A7236" s="4" t="str">
        <f>CONCATENATE("3071-0000-9023","")</f>
        <v>3071-0000-9023</v>
      </c>
      <c r="B7236" s="4" t="s">
        <v>6511</v>
      </c>
      <c r="C7236" s="5">
        <v>41489</v>
      </c>
      <c r="D7236" s="5">
        <v>41549</v>
      </c>
      <c r="E7236" s="4" t="s">
        <v>5185</v>
      </c>
      <c r="F7236" s="4" t="s">
        <v>5292</v>
      </c>
    </row>
    <row r="7237" spans="1:6" x14ac:dyDescent="0.25">
      <c r="A7237" s="4" t="str">
        <f>CONCATENATE("3071-0000-4700","")</f>
        <v>3071-0000-4700</v>
      </c>
      <c r="B7237" s="4" t="s">
        <v>9638</v>
      </c>
      <c r="C7237" s="5">
        <v>41489</v>
      </c>
      <c r="D7237" s="5">
        <v>41549</v>
      </c>
      <c r="E7237" s="4" t="s">
        <v>1410</v>
      </c>
      <c r="F7237" s="4" t="s">
        <v>8696</v>
      </c>
    </row>
    <row r="7238" spans="1:6" x14ac:dyDescent="0.25">
      <c r="A7238" s="4" t="str">
        <f>CONCATENATE("3071-0000-8869","")</f>
        <v>3071-0000-8869</v>
      </c>
      <c r="B7238" s="4" t="s">
        <v>6596</v>
      </c>
      <c r="C7238" s="5">
        <v>41489</v>
      </c>
      <c r="D7238" s="5">
        <v>41549</v>
      </c>
      <c r="E7238" s="4" t="s">
        <v>5185</v>
      </c>
      <c r="F7238" s="4" t="s">
        <v>5292</v>
      </c>
    </row>
    <row r="7239" spans="1:6" x14ac:dyDescent="0.25">
      <c r="A7239" s="4" t="str">
        <f>CONCATENATE("3071-0000-4369","")</f>
        <v>3071-0000-4369</v>
      </c>
      <c r="B7239" s="4" t="s">
        <v>9428</v>
      </c>
      <c r="C7239" s="5">
        <v>41489</v>
      </c>
      <c r="D7239" s="5">
        <v>41549</v>
      </c>
      <c r="E7239" s="4" t="s">
        <v>1410</v>
      </c>
      <c r="F7239" s="4" t="s">
        <v>8696</v>
      </c>
    </row>
    <row r="7240" spans="1:6" x14ac:dyDescent="0.25">
      <c r="A7240" s="4" t="str">
        <f>CONCATENATE("3071-0000-4638","")</f>
        <v>3071-0000-4638</v>
      </c>
      <c r="B7240" s="4" t="s">
        <v>9419</v>
      </c>
      <c r="C7240" s="5">
        <v>41489</v>
      </c>
      <c r="D7240" s="5">
        <v>41549</v>
      </c>
      <c r="E7240" s="4" t="s">
        <v>1410</v>
      </c>
      <c r="F7240" s="4" t="s">
        <v>8696</v>
      </c>
    </row>
    <row r="7241" spans="1:6" x14ac:dyDescent="0.25">
      <c r="A7241" s="4" t="str">
        <f>CONCATENATE("3071-0000-1508","")</f>
        <v>3071-0000-1508</v>
      </c>
      <c r="B7241" s="4" t="s">
        <v>2813</v>
      </c>
      <c r="C7241" s="5">
        <v>41489</v>
      </c>
      <c r="D7241" s="5">
        <v>41549</v>
      </c>
      <c r="E7241" s="4" t="s">
        <v>1381</v>
      </c>
      <c r="F7241" s="4" t="s">
        <v>2303</v>
      </c>
    </row>
    <row r="7242" spans="1:6" x14ac:dyDescent="0.25">
      <c r="A7242" s="4" t="str">
        <f>CONCATENATE("3071-0000-4698","")</f>
        <v>3071-0000-4698</v>
      </c>
      <c r="B7242" s="4" t="s">
        <v>9636</v>
      </c>
      <c r="C7242" s="5">
        <v>41489</v>
      </c>
      <c r="D7242" s="5">
        <v>41549</v>
      </c>
      <c r="E7242" s="4" t="s">
        <v>1410</v>
      </c>
      <c r="F7242" s="4" t="s">
        <v>8696</v>
      </c>
    </row>
    <row r="7243" spans="1:6" x14ac:dyDescent="0.25">
      <c r="A7243" s="4" t="str">
        <f>CONCATENATE("3071-0000-3115","")</f>
        <v>3071-0000-3115</v>
      </c>
      <c r="B7243" s="4" t="s">
        <v>1406</v>
      </c>
      <c r="C7243" s="5">
        <v>41489</v>
      </c>
      <c r="D7243" s="5">
        <v>41549</v>
      </c>
      <c r="E7243" s="4" t="s">
        <v>7</v>
      </c>
      <c r="F7243" s="4" t="s">
        <v>982</v>
      </c>
    </row>
    <row r="7244" spans="1:6" x14ac:dyDescent="0.25">
      <c r="A7244" s="4" t="str">
        <f>CONCATENATE("3071-0000-1692","")</f>
        <v>3071-0000-1692</v>
      </c>
      <c r="B7244" s="4" t="s">
        <v>2781</v>
      </c>
      <c r="C7244" s="5">
        <v>41489</v>
      </c>
      <c r="D7244" s="5">
        <v>41549</v>
      </c>
      <c r="E7244" s="4" t="s">
        <v>1381</v>
      </c>
      <c r="F7244" s="4" t="s">
        <v>2533</v>
      </c>
    </row>
    <row r="7245" spans="1:6" x14ac:dyDescent="0.25">
      <c r="A7245" s="4" t="str">
        <f>CONCATENATE("3071-0000-5413","")</f>
        <v>3071-0000-5413</v>
      </c>
      <c r="B7245" s="4" t="s">
        <v>6832</v>
      </c>
      <c r="C7245" s="5">
        <v>41489</v>
      </c>
      <c r="D7245" s="5">
        <v>41549</v>
      </c>
      <c r="E7245" s="4" t="s">
        <v>5185</v>
      </c>
      <c r="F7245" s="4" t="s">
        <v>5185</v>
      </c>
    </row>
    <row r="7246" spans="1:6" x14ac:dyDescent="0.25">
      <c r="A7246" s="4" t="str">
        <f>CONCATENATE("3071-0000-3887","")</f>
        <v>3071-0000-3887</v>
      </c>
      <c r="B7246" s="4" t="s">
        <v>4101</v>
      </c>
      <c r="C7246" s="5">
        <v>41489</v>
      </c>
      <c r="D7246" s="5">
        <v>41549</v>
      </c>
      <c r="E7246" s="4" t="s">
        <v>2944</v>
      </c>
      <c r="F7246" s="4" t="s">
        <v>3513</v>
      </c>
    </row>
    <row r="7247" spans="1:6" x14ac:dyDescent="0.25">
      <c r="A7247" s="4" t="str">
        <f>CONCATENATE("3071-0000-7484","")</f>
        <v>3071-0000-7484</v>
      </c>
      <c r="B7247" s="4" t="s">
        <v>4410</v>
      </c>
      <c r="C7247" s="5">
        <v>41489</v>
      </c>
      <c r="D7247" s="5">
        <v>41549</v>
      </c>
      <c r="E7247" s="4" t="s">
        <v>1410</v>
      </c>
      <c r="F7247" s="4" t="s">
        <v>1410</v>
      </c>
    </row>
    <row r="7248" spans="1:6" x14ac:dyDescent="0.25">
      <c r="A7248" s="4" t="str">
        <f>CONCATENATE("3071-0000-8033","")</f>
        <v>3071-0000-8033</v>
      </c>
      <c r="B7248" s="4" t="s">
        <v>5684</v>
      </c>
      <c r="C7248" s="5">
        <v>41489</v>
      </c>
      <c r="D7248" s="5">
        <v>41549</v>
      </c>
      <c r="E7248" s="4" t="s">
        <v>5185</v>
      </c>
      <c r="F7248" s="4" t="s">
        <v>5185</v>
      </c>
    </row>
    <row r="7249" spans="1:6" x14ac:dyDescent="0.25">
      <c r="A7249" s="4" t="str">
        <f>CONCATENATE("3071-0000-7945","")</f>
        <v>3071-0000-7945</v>
      </c>
      <c r="B7249" s="4" t="s">
        <v>5581</v>
      </c>
      <c r="C7249" s="5">
        <v>41489</v>
      </c>
      <c r="D7249" s="5">
        <v>41549</v>
      </c>
      <c r="E7249" s="4" t="s">
        <v>5185</v>
      </c>
      <c r="F7249" s="4" t="s">
        <v>5185</v>
      </c>
    </row>
    <row r="7250" spans="1:6" x14ac:dyDescent="0.25">
      <c r="A7250" s="4" t="str">
        <f>CONCATENATE("3071-0000-1771","")</f>
        <v>3071-0000-1771</v>
      </c>
      <c r="B7250" s="4" t="s">
        <v>2466</v>
      </c>
      <c r="C7250" s="5">
        <v>41489</v>
      </c>
      <c r="D7250" s="5">
        <v>41549</v>
      </c>
      <c r="E7250" s="4" t="s">
        <v>1381</v>
      </c>
      <c r="F7250" s="4" t="s">
        <v>2303</v>
      </c>
    </row>
    <row r="7251" spans="1:6" x14ac:dyDescent="0.25">
      <c r="A7251" s="4" t="str">
        <f>CONCATENATE("3071-0000-5477","")</f>
        <v>3071-0000-5477</v>
      </c>
      <c r="B7251" s="4" t="s">
        <v>6694</v>
      </c>
      <c r="C7251" s="5">
        <v>41489</v>
      </c>
      <c r="D7251" s="5">
        <v>41549</v>
      </c>
      <c r="E7251" s="4" t="s">
        <v>1410</v>
      </c>
      <c r="F7251" s="4" t="s">
        <v>6635</v>
      </c>
    </row>
    <row r="7252" spans="1:6" x14ac:dyDescent="0.25">
      <c r="A7252" s="4" t="str">
        <f>CONCATENATE("3071-0000-8853","")</f>
        <v>3071-0000-8853</v>
      </c>
      <c r="B7252" s="4" t="s">
        <v>5623</v>
      </c>
      <c r="C7252" s="5">
        <v>41489</v>
      </c>
      <c r="D7252" s="5">
        <v>41549</v>
      </c>
      <c r="E7252" s="4" t="s">
        <v>5185</v>
      </c>
      <c r="F7252" s="4" t="s">
        <v>5250</v>
      </c>
    </row>
    <row r="7253" spans="1:6" x14ac:dyDescent="0.25">
      <c r="A7253" s="4" t="str">
        <f>CONCATENATE("3071-0000-1773","")</f>
        <v>3071-0000-1773</v>
      </c>
      <c r="B7253" s="4" t="s">
        <v>2763</v>
      </c>
      <c r="C7253" s="5">
        <v>41489</v>
      </c>
      <c r="D7253" s="5">
        <v>41549</v>
      </c>
      <c r="E7253" s="4" t="s">
        <v>1381</v>
      </c>
      <c r="F7253" s="4" t="s">
        <v>1382</v>
      </c>
    </row>
    <row r="7254" spans="1:6" x14ac:dyDescent="0.25">
      <c r="A7254" s="4" t="str">
        <f>CONCATENATE("3071-0000-1729","")</f>
        <v>3071-0000-1729</v>
      </c>
      <c r="B7254" s="4" t="s">
        <v>2610</v>
      </c>
      <c r="C7254" s="5">
        <v>41489</v>
      </c>
      <c r="D7254" s="5">
        <v>41549</v>
      </c>
      <c r="E7254" s="4" t="s">
        <v>1381</v>
      </c>
      <c r="F7254" s="4" t="s">
        <v>2303</v>
      </c>
    </row>
    <row r="7255" spans="1:6" x14ac:dyDescent="0.25">
      <c r="A7255" s="4" t="str">
        <f>CONCATENATE("3071-0000-5238","")</f>
        <v>3071-0000-5238</v>
      </c>
      <c r="B7255" s="4" t="s">
        <v>6704</v>
      </c>
      <c r="C7255" s="5">
        <v>41489</v>
      </c>
      <c r="D7255" s="5">
        <v>41549</v>
      </c>
      <c r="E7255" s="4" t="s">
        <v>5185</v>
      </c>
      <c r="F7255" s="4" t="s">
        <v>5185</v>
      </c>
    </row>
    <row r="7256" spans="1:6" x14ac:dyDescent="0.25">
      <c r="A7256" s="4" t="str">
        <f>CONCATENATE("3071-0000-9204","")</f>
        <v>3071-0000-9204</v>
      </c>
      <c r="B7256" s="4" t="s">
        <v>5567</v>
      </c>
      <c r="C7256" s="5">
        <v>41489</v>
      </c>
      <c r="D7256" s="5">
        <v>41549</v>
      </c>
      <c r="E7256" s="4" t="s">
        <v>5185</v>
      </c>
      <c r="F7256" s="4" t="s">
        <v>5185</v>
      </c>
    </row>
    <row r="7257" spans="1:6" x14ac:dyDescent="0.25">
      <c r="A7257" s="4" t="str">
        <f>CONCATENATE("3071-0000-7638","")</f>
        <v>3071-0000-7638</v>
      </c>
      <c r="B7257" s="4" t="s">
        <v>5174</v>
      </c>
      <c r="C7257" s="5">
        <v>41489</v>
      </c>
      <c r="D7257" s="5">
        <v>41549</v>
      </c>
      <c r="E7257" s="4" t="s">
        <v>1410</v>
      </c>
      <c r="F7257" s="4" t="s">
        <v>4616</v>
      </c>
    </row>
    <row r="7258" spans="1:6" x14ac:dyDescent="0.25">
      <c r="A7258" s="4" t="str">
        <f>CONCATENATE("3071-0000-7090","")</f>
        <v>3071-0000-7090</v>
      </c>
      <c r="B7258" s="4" t="s">
        <v>4684</v>
      </c>
      <c r="C7258" s="5">
        <v>41489</v>
      </c>
      <c r="D7258" s="5">
        <v>41549</v>
      </c>
      <c r="E7258" s="4" t="s">
        <v>1410</v>
      </c>
      <c r="F7258" s="4" t="s">
        <v>4655</v>
      </c>
    </row>
    <row r="7259" spans="1:6" x14ac:dyDescent="0.25">
      <c r="A7259" s="4" t="str">
        <f>CONCATENATE("3071-0000-5899","")</f>
        <v>3071-0000-5899</v>
      </c>
      <c r="B7259" s="4" t="s">
        <v>7589</v>
      </c>
      <c r="C7259" s="5">
        <v>41489</v>
      </c>
      <c r="D7259" s="5">
        <v>41549</v>
      </c>
      <c r="E7259" s="4" t="s">
        <v>5185</v>
      </c>
      <c r="F7259" s="4" t="s">
        <v>5185</v>
      </c>
    </row>
    <row r="7260" spans="1:6" x14ac:dyDescent="0.25">
      <c r="A7260" s="4" t="str">
        <f>CONCATENATE("3071-0000-5898","")</f>
        <v>3071-0000-5898</v>
      </c>
      <c r="B7260" s="4" t="s">
        <v>7588</v>
      </c>
      <c r="C7260" s="5">
        <v>41489</v>
      </c>
      <c r="D7260" s="5">
        <v>41549</v>
      </c>
      <c r="E7260" s="4" t="s">
        <v>5185</v>
      </c>
      <c r="F7260" s="4" t="s">
        <v>5185</v>
      </c>
    </row>
    <row r="7261" spans="1:6" x14ac:dyDescent="0.25">
      <c r="A7261" s="4" t="str">
        <f>CONCATENATE("3071-0000-6824","")</f>
        <v>3071-0000-6824</v>
      </c>
      <c r="B7261" s="4" t="s">
        <v>7911</v>
      </c>
      <c r="C7261" s="5">
        <v>41489</v>
      </c>
      <c r="D7261" s="5">
        <v>41549</v>
      </c>
      <c r="E7261" s="4" t="s">
        <v>1410</v>
      </c>
      <c r="F7261" s="4" t="s">
        <v>4655</v>
      </c>
    </row>
    <row r="7262" spans="1:6" x14ac:dyDescent="0.25">
      <c r="A7262" s="4" t="str">
        <f>CONCATENATE("3071-0000-5814","")</f>
        <v>3071-0000-5814</v>
      </c>
      <c r="B7262" s="4" t="s">
        <v>7517</v>
      </c>
      <c r="C7262" s="5">
        <v>41489</v>
      </c>
      <c r="D7262" s="5">
        <v>41549</v>
      </c>
      <c r="E7262" s="4" t="s">
        <v>5185</v>
      </c>
      <c r="F7262" s="4" t="s">
        <v>5185</v>
      </c>
    </row>
    <row r="7263" spans="1:6" x14ac:dyDescent="0.25">
      <c r="A7263" s="4" t="str">
        <f>CONCATENATE("3071-0000-7290","")</f>
        <v>3071-0000-7290</v>
      </c>
      <c r="B7263" s="4" t="s">
        <v>4486</v>
      </c>
      <c r="C7263" s="5">
        <v>41489</v>
      </c>
      <c r="D7263" s="5">
        <v>41549</v>
      </c>
      <c r="E7263" s="4" t="s">
        <v>1410</v>
      </c>
      <c r="F7263" s="4" t="s">
        <v>1410</v>
      </c>
    </row>
    <row r="7264" spans="1:6" x14ac:dyDescent="0.25">
      <c r="A7264" s="4" t="str">
        <f>CONCATENATE("3071-0000-8711","")</f>
        <v>3071-0000-8711</v>
      </c>
      <c r="B7264" s="4" t="s">
        <v>6471</v>
      </c>
      <c r="C7264" s="5">
        <v>41489</v>
      </c>
      <c r="D7264" s="5">
        <v>41549</v>
      </c>
      <c r="E7264" s="4" t="s">
        <v>5185</v>
      </c>
      <c r="F7264" s="4" t="s">
        <v>5292</v>
      </c>
    </row>
    <row r="7265" spans="1:6" x14ac:dyDescent="0.25">
      <c r="A7265" s="4" t="str">
        <f>CONCATENATE("3071-0000-0169","")</f>
        <v>3071-0000-0169</v>
      </c>
      <c r="B7265" s="4" t="s">
        <v>353</v>
      </c>
      <c r="C7265" s="5">
        <v>41489</v>
      </c>
      <c r="D7265" s="5">
        <v>41549</v>
      </c>
      <c r="E7265" s="4" t="s">
        <v>7</v>
      </c>
      <c r="F7265" s="4" t="s">
        <v>7</v>
      </c>
    </row>
    <row r="7266" spans="1:6" x14ac:dyDescent="0.25">
      <c r="A7266" s="4" t="str">
        <f>CONCATENATE("3071-0000-9608","")</f>
        <v>3071-0000-9608</v>
      </c>
      <c r="B7266" s="4" t="s">
        <v>8426</v>
      </c>
      <c r="C7266" s="5">
        <v>41489</v>
      </c>
      <c r="D7266" s="5">
        <v>41549</v>
      </c>
      <c r="E7266" s="4" t="s">
        <v>1410</v>
      </c>
      <c r="F7266" s="4" t="s">
        <v>4459</v>
      </c>
    </row>
    <row r="7267" spans="1:6" x14ac:dyDescent="0.25">
      <c r="A7267" s="4" t="str">
        <f>CONCATENATE("3071-0000-1428","")</f>
        <v>3071-0000-1428</v>
      </c>
      <c r="B7267" s="4" t="s">
        <v>2657</v>
      </c>
      <c r="C7267" s="5">
        <v>41489</v>
      </c>
      <c r="D7267" s="5">
        <v>41549</v>
      </c>
      <c r="E7267" s="4" t="s">
        <v>1381</v>
      </c>
      <c r="F7267" s="4" t="s">
        <v>2303</v>
      </c>
    </row>
    <row r="7268" spans="1:6" x14ac:dyDescent="0.25">
      <c r="A7268" s="4" t="str">
        <f>CONCATENATE("3071-0000-1427","")</f>
        <v>3071-0000-1427</v>
      </c>
      <c r="B7268" s="4" t="s">
        <v>2656</v>
      </c>
      <c r="C7268" s="5">
        <v>41489</v>
      </c>
      <c r="D7268" s="5">
        <v>41549</v>
      </c>
      <c r="E7268" s="4" t="s">
        <v>1381</v>
      </c>
      <c r="F7268" s="4" t="s">
        <v>2303</v>
      </c>
    </row>
    <row r="7269" spans="1:6" x14ac:dyDescent="0.25">
      <c r="A7269" s="4" t="str">
        <f>CONCATENATE("3071-0000-5065","")</f>
        <v>3071-0000-5065</v>
      </c>
      <c r="B7269" s="4" t="s">
        <v>9053</v>
      </c>
      <c r="C7269" s="5">
        <v>41489</v>
      </c>
      <c r="D7269" s="5">
        <v>41549</v>
      </c>
      <c r="E7269" s="4" t="s">
        <v>7069</v>
      </c>
      <c r="F7269" s="4" t="s">
        <v>9051</v>
      </c>
    </row>
    <row r="7270" spans="1:6" x14ac:dyDescent="0.25">
      <c r="A7270" s="4" t="str">
        <f>CONCATENATE("3071-0000-6091","")</f>
        <v>3071-0000-6091</v>
      </c>
      <c r="B7270" s="4" t="s">
        <v>7496</v>
      </c>
      <c r="C7270" s="5">
        <v>41489</v>
      </c>
      <c r="D7270" s="5">
        <v>41549</v>
      </c>
      <c r="E7270" s="4" t="s">
        <v>1410</v>
      </c>
      <c r="F7270" s="4" t="s">
        <v>1410</v>
      </c>
    </row>
    <row r="7271" spans="1:6" x14ac:dyDescent="0.25">
      <c r="A7271" s="4" t="str">
        <f>CONCATENATE("3071-0000-7671","")</f>
        <v>3071-0000-7671</v>
      </c>
      <c r="B7271" s="4" t="s">
        <v>5163</v>
      </c>
      <c r="C7271" s="5">
        <v>41489</v>
      </c>
      <c r="D7271" s="5">
        <v>41549</v>
      </c>
      <c r="E7271" s="4" t="s">
        <v>1410</v>
      </c>
      <c r="F7271" s="4" t="s">
        <v>4616</v>
      </c>
    </row>
    <row r="7272" spans="1:6" x14ac:dyDescent="0.25">
      <c r="A7272" s="4" t="str">
        <f>CONCATENATE("3071-0000-8913","")</f>
        <v>3071-0000-8913</v>
      </c>
      <c r="B7272" s="4" t="s">
        <v>5321</v>
      </c>
      <c r="C7272" s="5">
        <v>41489</v>
      </c>
      <c r="D7272" s="5">
        <v>41549</v>
      </c>
      <c r="E7272" s="4" t="s">
        <v>1410</v>
      </c>
      <c r="F7272" s="4" t="s">
        <v>4616</v>
      </c>
    </row>
    <row r="7273" spans="1:6" x14ac:dyDescent="0.25">
      <c r="A7273" s="4" t="str">
        <f>CONCATENATE("3071-0000-8638","")</f>
        <v>3071-0000-8638</v>
      </c>
      <c r="B7273" s="4" t="s">
        <v>5505</v>
      </c>
      <c r="C7273" s="5">
        <v>41489</v>
      </c>
      <c r="D7273" s="5">
        <v>41549</v>
      </c>
      <c r="E7273" s="4" t="s">
        <v>5185</v>
      </c>
      <c r="F7273" s="4" t="s">
        <v>5250</v>
      </c>
    </row>
    <row r="7274" spans="1:6" x14ac:dyDescent="0.25">
      <c r="A7274" s="4" t="str">
        <f>CONCATENATE("3071-0000-9141","")</f>
        <v>3071-0000-9141</v>
      </c>
      <c r="B7274" s="4" t="s">
        <v>5736</v>
      </c>
      <c r="C7274" s="5">
        <v>41489</v>
      </c>
      <c r="D7274" s="5">
        <v>41549</v>
      </c>
      <c r="E7274" s="4" t="s">
        <v>5185</v>
      </c>
      <c r="F7274" s="4" t="s">
        <v>5250</v>
      </c>
    </row>
    <row r="7275" spans="1:6" x14ac:dyDescent="0.25">
      <c r="A7275" s="4" t="str">
        <f>CONCATENATE("3071-0000-8036","")</f>
        <v>3071-0000-8036</v>
      </c>
      <c r="B7275" s="4" t="s">
        <v>5636</v>
      </c>
      <c r="C7275" s="5">
        <v>41489</v>
      </c>
      <c r="D7275" s="5">
        <v>41549</v>
      </c>
      <c r="E7275" s="4" t="s">
        <v>5185</v>
      </c>
      <c r="F7275" s="4" t="s">
        <v>5185</v>
      </c>
    </row>
    <row r="7276" spans="1:6" x14ac:dyDescent="0.25">
      <c r="A7276" s="4" t="str">
        <f>CONCATENATE("3071-0000-1947","")</f>
        <v>3071-0000-1947</v>
      </c>
      <c r="B7276" s="4" t="s">
        <v>3049</v>
      </c>
      <c r="C7276" s="5">
        <v>41489</v>
      </c>
      <c r="D7276" s="5">
        <v>41549</v>
      </c>
      <c r="E7276" s="4" t="s">
        <v>2944</v>
      </c>
      <c r="F7276" s="4" t="s">
        <v>2945</v>
      </c>
    </row>
    <row r="7277" spans="1:6" x14ac:dyDescent="0.25">
      <c r="A7277" s="4" t="str">
        <f>CONCATENATE("3071-0000-7304","")</f>
        <v>3071-0000-7304</v>
      </c>
      <c r="B7277" s="4" t="s">
        <v>4626</v>
      </c>
      <c r="C7277" s="5">
        <v>41489</v>
      </c>
      <c r="D7277" s="5">
        <v>41549</v>
      </c>
      <c r="E7277" s="4" t="s">
        <v>1410</v>
      </c>
      <c r="F7277" s="4" t="s">
        <v>1410</v>
      </c>
    </row>
    <row r="7278" spans="1:6" x14ac:dyDescent="0.25">
      <c r="A7278" s="4" t="str">
        <f>CONCATENATE("3071-0000-6126","")</f>
        <v>3071-0000-6126</v>
      </c>
      <c r="B7278" s="4" t="s">
        <v>7651</v>
      </c>
      <c r="C7278" s="5">
        <v>41489</v>
      </c>
      <c r="D7278" s="5">
        <v>41549</v>
      </c>
      <c r="E7278" s="4" t="s">
        <v>1410</v>
      </c>
      <c r="F7278" s="4" t="s">
        <v>1410</v>
      </c>
    </row>
    <row r="7279" spans="1:6" x14ac:dyDescent="0.25">
      <c r="A7279" s="4" t="str">
        <f>CONCATENATE("3071-0000-6761","")</f>
        <v>3071-0000-6761</v>
      </c>
      <c r="B7279" s="4" t="s">
        <v>8059</v>
      </c>
      <c r="C7279" s="5">
        <v>41489</v>
      </c>
      <c r="D7279" s="5">
        <v>41549</v>
      </c>
      <c r="E7279" s="4" t="s">
        <v>1410</v>
      </c>
      <c r="F7279" s="4" t="s">
        <v>4655</v>
      </c>
    </row>
    <row r="7280" spans="1:6" x14ac:dyDescent="0.25">
      <c r="A7280" s="4" t="str">
        <f>CONCATENATE("3071-0000-6833","")</f>
        <v>3071-0000-6833</v>
      </c>
      <c r="B7280" s="4" t="s">
        <v>7848</v>
      </c>
      <c r="C7280" s="5">
        <v>41489</v>
      </c>
      <c r="D7280" s="5">
        <v>41549</v>
      </c>
      <c r="E7280" s="4" t="s">
        <v>1410</v>
      </c>
      <c r="F7280" s="4" t="s">
        <v>4655</v>
      </c>
    </row>
    <row r="7281" spans="1:6" x14ac:dyDescent="0.25">
      <c r="A7281" s="4" t="str">
        <f>CONCATENATE("3071-0000-9183","")</f>
        <v>3071-0000-9183</v>
      </c>
      <c r="B7281" s="4" t="s">
        <v>6167</v>
      </c>
      <c r="C7281" s="5">
        <v>41489</v>
      </c>
      <c r="D7281" s="5">
        <v>41549</v>
      </c>
      <c r="E7281" s="4" t="s">
        <v>5185</v>
      </c>
      <c r="F7281" s="4" t="s">
        <v>5945</v>
      </c>
    </row>
    <row r="7282" spans="1:6" x14ac:dyDescent="0.25">
      <c r="A7282" s="4" t="str">
        <f>CONCATENATE("3071-0000-6141","")</f>
        <v>3071-0000-6141</v>
      </c>
      <c r="B7282" s="4" t="s">
        <v>7644</v>
      </c>
      <c r="C7282" s="5">
        <v>41489</v>
      </c>
      <c r="D7282" s="5">
        <v>41549</v>
      </c>
      <c r="E7282" s="4" t="s">
        <v>1410</v>
      </c>
      <c r="F7282" s="4" t="s">
        <v>1410</v>
      </c>
    </row>
    <row r="7283" spans="1:6" x14ac:dyDescent="0.25">
      <c r="A7283" s="4" t="str">
        <f>CONCATENATE("3071-0000-6402","")</f>
        <v>3071-0000-6402</v>
      </c>
      <c r="B7283" s="4" t="s">
        <v>7847</v>
      </c>
      <c r="C7283" s="5">
        <v>41489</v>
      </c>
      <c r="D7283" s="5">
        <v>41549</v>
      </c>
      <c r="E7283" s="4" t="s">
        <v>5185</v>
      </c>
      <c r="F7283" s="4" t="s">
        <v>5185</v>
      </c>
    </row>
    <row r="7284" spans="1:6" x14ac:dyDescent="0.25">
      <c r="A7284" s="4" t="str">
        <f>CONCATENATE("3071-0000-5783","")</f>
        <v>3071-0000-5783</v>
      </c>
      <c r="B7284" s="4" t="s">
        <v>7519</v>
      </c>
      <c r="C7284" s="5">
        <v>41489</v>
      </c>
      <c r="D7284" s="5">
        <v>41549</v>
      </c>
      <c r="E7284" s="4" t="s">
        <v>5185</v>
      </c>
      <c r="F7284" s="4" t="s">
        <v>5185</v>
      </c>
    </row>
    <row r="7285" spans="1:6" x14ac:dyDescent="0.25">
      <c r="A7285" s="4" t="str">
        <f>CONCATENATE("3071-0000-9274","")</f>
        <v>3071-0000-9274</v>
      </c>
      <c r="B7285" s="4" t="s">
        <v>8284</v>
      </c>
      <c r="C7285" s="5">
        <v>41489</v>
      </c>
      <c r="D7285" s="5">
        <v>41549</v>
      </c>
      <c r="E7285" s="4" t="s">
        <v>5185</v>
      </c>
      <c r="F7285" s="4" t="s">
        <v>5185</v>
      </c>
    </row>
    <row r="7286" spans="1:6" x14ac:dyDescent="0.25">
      <c r="A7286" s="4" t="str">
        <f>CONCATENATE("3071-0000-1710","")</f>
        <v>3071-0000-1710</v>
      </c>
      <c r="B7286" s="4" t="s">
        <v>2588</v>
      </c>
      <c r="C7286" s="5">
        <v>41489</v>
      </c>
      <c r="D7286" s="5">
        <v>41549</v>
      </c>
      <c r="E7286" s="4" t="s">
        <v>1381</v>
      </c>
      <c r="F7286" s="4" t="s">
        <v>2303</v>
      </c>
    </row>
    <row r="7287" spans="1:6" x14ac:dyDescent="0.25">
      <c r="A7287" s="4" t="str">
        <f>CONCATENATE("3071-0000-1363","")</f>
        <v>3071-0000-1363</v>
      </c>
      <c r="B7287" s="4" t="s">
        <v>2513</v>
      </c>
      <c r="C7287" s="5">
        <v>41489</v>
      </c>
      <c r="D7287" s="5">
        <v>41549</v>
      </c>
      <c r="E7287" s="4" t="s">
        <v>1381</v>
      </c>
      <c r="F7287" s="4" t="s">
        <v>2303</v>
      </c>
    </row>
    <row r="7288" spans="1:6" x14ac:dyDescent="0.25">
      <c r="A7288" s="4" t="str">
        <f>CONCATENATE("3071-0000-0390","")</f>
        <v>3071-0000-0390</v>
      </c>
      <c r="B7288" s="4" t="s">
        <v>89</v>
      </c>
      <c r="C7288" s="5">
        <v>41489</v>
      </c>
      <c r="D7288" s="5">
        <v>41549</v>
      </c>
      <c r="E7288" s="4" t="s">
        <v>7</v>
      </c>
      <c r="F7288" s="4" t="s">
        <v>7</v>
      </c>
    </row>
    <row r="7289" spans="1:6" x14ac:dyDescent="0.25">
      <c r="A7289" s="4" t="str">
        <f>CONCATENATE("3071-0000-5886","")</f>
        <v>3071-0000-5886</v>
      </c>
      <c r="B7289" s="4" t="s">
        <v>7568</v>
      </c>
      <c r="C7289" s="5">
        <v>41489</v>
      </c>
      <c r="D7289" s="5">
        <v>41549</v>
      </c>
      <c r="E7289" s="4" t="s">
        <v>5185</v>
      </c>
      <c r="F7289" s="4" t="s">
        <v>5185</v>
      </c>
    </row>
    <row r="7290" spans="1:6" x14ac:dyDescent="0.25">
      <c r="A7290" s="4" t="str">
        <f>CONCATENATE("3071-0000-5260","")</f>
        <v>3071-0000-5260</v>
      </c>
      <c r="B7290" s="4" t="s">
        <v>6699</v>
      </c>
      <c r="C7290" s="5">
        <v>41489</v>
      </c>
      <c r="D7290" s="5">
        <v>41549</v>
      </c>
      <c r="E7290" s="4" t="s">
        <v>5185</v>
      </c>
      <c r="F7290" s="4" t="s">
        <v>5185</v>
      </c>
    </row>
    <row r="7291" spans="1:6" x14ac:dyDescent="0.25">
      <c r="A7291" s="4" t="str">
        <f>CONCATENATE("3071-0000-5258","")</f>
        <v>3071-0000-5258</v>
      </c>
      <c r="B7291" s="4" t="s">
        <v>6697</v>
      </c>
      <c r="C7291" s="5">
        <v>41489</v>
      </c>
      <c r="D7291" s="5">
        <v>41549</v>
      </c>
      <c r="E7291" s="4" t="s">
        <v>5185</v>
      </c>
      <c r="F7291" s="4" t="s">
        <v>5185</v>
      </c>
    </row>
    <row r="7292" spans="1:6" x14ac:dyDescent="0.25">
      <c r="A7292" s="4" t="str">
        <f>CONCATENATE("3071-0000-1578","")</f>
        <v>3071-0000-1578</v>
      </c>
      <c r="B7292" s="4" t="s">
        <v>2516</v>
      </c>
      <c r="C7292" s="5">
        <v>41489</v>
      </c>
      <c r="D7292" s="5">
        <v>41549</v>
      </c>
      <c r="E7292" s="4" t="s">
        <v>1381</v>
      </c>
      <c r="F7292" s="4" t="s">
        <v>2303</v>
      </c>
    </row>
    <row r="7293" spans="1:6" x14ac:dyDescent="0.25">
      <c r="A7293" s="4" t="str">
        <f>CONCATENATE("3071-0000-0100","")</f>
        <v>3071-0000-0100</v>
      </c>
      <c r="B7293" s="4" t="s">
        <v>192</v>
      </c>
      <c r="C7293" s="5">
        <v>41489</v>
      </c>
      <c r="D7293" s="5">
        <v>41549</v>
      </c>
      <c r="E7293" s="4" t="s">
        <v>7</v>
      </c>
      <c r="F7293" s="4" t="s">
        <v>7</v>
      </c>
    </row>
    <row r="7294" spans="1:6" x14ac:dyDescent="0.25">
      <c r="A7294" s="4" t="str">
        <f>CONCATENATE("3071-0000-8779","")</f>
        <v>3071-0000-8779</v>
      </c>
      <c r="B7294" s="4" t="s">
        <v>6580</v>
      </c>
      <c r="C7294" s="5">
        <v>41489</v>
      </c>
      <c r="D7294" s="5">
        <v>41549</v>
      </c>
      <c r="E7294" s="4" t="s">
        <v>5185</v>
      </c>
      <c r="F7294" s="4" t="s">
        <v>5292</v>
      </c>
    </row>
    <row r="7295" spans="1:6" x14ac:dyDescent="0.25">
      <c r="A7295" s="4" t="str">
        <f>CONCATENATE("3071-0000-4465","")</f>
        <v>3071-0000-4465</v>
      </c>
      <c r="B7295" s="4" t="s">
        <v>9349</v>
      </c>
      <c r="C7295" s="5">
        <v>41489</v>
      </c>
      <c r="D7295" s="5">
        <v>41549</v>
      </c>
      <c r="E7295" s="4" t="s">
        <v>1410</v>
      </c>
      <c r="F7295" s="4" t="s">
        <v>8696</v>
      </c>
    </row>
    <row r="7296" spans="1:6" x14ac:dyDescent="0.25">
      <c r="A7296" s="4" t="str">
        <f>CONCATENATE("3071-0000-1287","")</f>
        <v>3071-0000-1287</v>
      </c>
      <c r="B7296" s="4" t="s">
        <v>2397</v>
      </c>
      <c r="C7296" s="5">
        <v>41489</v>
      </c>
      <c r="D7296" s="5">
        <v>41549</v>
      </c>
      <c r="E7296" s="4" t="s">
        <v>1381</v>
      </c>
      <c r="F7296" s="4" t="s">
        <v>2303</v>
      </c>
    </row>
    <row r="7297" spans="1:6" x14ac:dyDescent="0.25">
      <c r="A7297" s="4" t="str">
        <f>CONCATENATE("3071-0000-4644","")</f>
        <v>3071-0000-4644</v>
      </c>
      <c r="B7297" s="4" t="s">
        <v>8941</v>
      </c>
      <c r="C7297" s="5">
        <v>41489</v>
      </c>
      <c r="D7297" s="5">
        <v>41549</v>
      </c>
      <c r="E7297" s="4" t="s">
        <v>1410</v>
      </c>
      <c r="F7297" s="4" t="s">
        <v>8696</v>
      </c>
    </row>
    <row r="7298" spans="1:6" x14ac:dyDescent="0.25">
      <c r="A7298" s="4" t="str">
        <f>CONCATENATE("3071-0000-5724","")</f>
        <v>3071-0000-5724</v>
      </c>
      <c r="B7298" s="4" t="s">
        <v>7438</v>
      </c>
      <c r="C7298" s="5">
        <v>41489</v>
      </c>
      <c r="D7298" s="5">
        <v>41549</v>
      </c>
      <c r="E7298" s="4" t="s">
        <v>5185</v>
      </c>
      <c r="F7298" s="4" t="s">
        <v>5185</v>
      </c>
    </row>
    <row r="7299" spans="1:6" x14ac:dyDescent="0.25">
      <c r="A7299" s="4" t="str">
        <f>CONCATENATE("3071-0000-2695","")</f>
        <v>3071-0000-2695</v>
      </c>
      <c r="B7299" s="4" t="s">
        <v>3288</v>
      </c>
      <c r="C7299" s="5">
        <v>41489</v>
      </c>
      <c r="D7299" s="5">
        <v>41549</v>
      </c>
      <c r="E7299" s="4" t="s">
        <v>2944</v>
      </c>
      <c r="F7299" s="4" t="s">
        <v>3280</v>
      </c>
    </row>
    <row r="7300" spans="1:6" x14ac:dyDescent="0.25">
      <c r="A7300" s="4" t="str">
        <f>CONCATENATE("3071-0000-4059","")</f>
        <v>3071-0000-4059</v>
      </c>
      <c r="B7300" s="4" t="s">
        <v>3973</v>
      </c>
      <c r="C7300" s="5">
        <v>41489</v>
      </c>
      <c r="D7300" s="5">
        <v>41549</v>
      </c>
      <c r="E7300" s="4" t="s">
        <v>7</v>
      </c>
      <c r="F7300" s="4" t="s">
        <v>3818</v>
      </c>
    </row>
    <row r="7301" spans="1:6" x14ac:dyDescent="0.25">
      <c r="A7301" s="4" t="str">
        <f>CONCATENATE("3071-0000-3736","")</f>
        <v>3071-0000-3736</v>
      </c>
      <c r="B7301" s="4" t="s">
        <v>1666</v>
      </c>
      <c r="C7301" s="5">
        <v>41489</v>
      </c>
      <c r="D7301" s="5">
        <v>41549</v>
      </c>
      <c r="E7301" s="4" t="s">
        <v>1410</v>
      </c>
      <c r="F7301" s="4" t="s">
        <v>1601</v>
      </c>
    </row>
    <row r="7302" spans="1:6" x14ac:dyDescent="0.25">
      <c r="A7302" s="4" t="str">
        <f>CONCATENATE("3071-0000-7020","")</f>
        <v>3071-0000-7020</v>
      </c>
      <c r="B7302" s="4" t="s">
        <v>4663</v>
      </c>
      <c r="C7302" s="5">
        <v>41489</v>
      </c>
      <c r="D7302" s="5">
        <v>41549</v>
      </c>
      <c r="E7302" s="4" t="s">
        <v>1410</v>
      </c>
      <c r="F7302" s="4" t="s">
        <v>1410</v>
      </c>
    </row>
    <row r="7303" spans="1:6" x14ac:dyDescent="0.25">
      <c r="A7303" s="4" t="str">
        <f>CONCATENATE("3071-0000-2169","")</f>
        <v>3071-0000-2169</v>
      </c>
      <c r="B7303" s="4" t="s">
        <v>3215</v>
      </c>
      <c r="C7303" s="5">
        <v>41489</v>
      </c>
      <c r="D7303" s="5">
        <v>41549</v>
      </c>
      <c r="E7303" s="4" t="s">
        <v>2944</v>
      </c>
      <c r="F7303" s="4" t="s">
        <v>2945</v>
      </c>
    </row>
    <row r="7304" spans="1:6" x14ac:dyDescent="0.25">
      <c r="A7304" s="4" t="str">
        <f>CONCATENATE("3071-0000-6740","")</f>
        <v>3071-0000-6740</v>
      </c>
      <c r="B7304" s="4" t="s">
        <v>7890</v>
      </c>
      <c r="C7304" s="5">
        <v>41489</v>
      </c>
      <c r="D7304" s="5">
        <v>41549</v>
      </c>
      <c r="E7304" s="4" t="s">
        <v>5185</v>
      </c>
      <c r="F7304" s="4" t="s">
        <v>5185</v>
      </c>
    </row>
    <row r="7305" spans="1:6" x14ac:dyDescent="0.25">
      <c r="A7305" s="4" t="str">
        <f>CONCATENATE("3071-0000-6676","")</f>
        <v>3071-0000-6676</v>
      </c>
      <c r="B7305" s="4" t="s">
        <v>8031</v>
      </c>
      <c r="C7305" s="5">
        <v>41489</v>
      </c>
      <c r="D7305" s="5">
        <v>41549</v>
      </c>
      <c r="E7305" s="4" t="s">
        <v>5185</v>
      </c>
      <c r="F7305" s="4" t="s">
        <v>5185</v>
      </c>
    </row>
    <row r="7306" spans="1:6" x14ac:dyDescent="0.25">
      <c r="A7306" s="4" t="str">
        <f>CONCATENATE("3071-0000-9161","")</f>
        <v>3071-0000-9161</v>
      </c>
      <c r="B7306" s="4" t="s">
        <v>5952</v>
      </c>
      <c r="C7306" s="5">
        <v>41489</v>
      </c>
      <c r="D7306" s="5">
        <v>41549</v>
      </c>
      <c r="E7306" s="4" t="s">
        <v>5185</v>
      </c>
      <c r="F7306" s="4" t="s">
        <v>5945</v>
      </c>
    </row>
    <row r="7307" spans="1:6" x14ac:dyDescent="0.25">
      <c r="A7307" s="4" t="str">
        <f>CONCATENATE("3071-0000-3240","")</f>
        <v>3071-0000-3240</v>
      </c>
      <c r="B7307" s="4" t="s">
        <v>898</v>
      </c>
      <c r="C7307" s="5">
        <v>41489</v>
      </c>
      <c r="D7307" s="5">
        <v>41549</v>
      </c>
      <c r="E7307" s="4" t="s">
        <v>7</v>
      </c>
      <c r="F7307" s="4" t="s">
        <v>808</v>
      </c>
    </row>
    <row r="7308" spans="1:6" x14ac:dyDescent="0.25">
      <c r="A7308" s="4" t="str">
        <f>CONCATENATE("3071-0000-6759","")</f>
        <v>3071-0000-6759</v>
      </c>
      <c r="B7308" s="4" t="s">
        <v>8038</v>
      </c>
      <c r="C7308" s="5">
        <v>41489</v>
      </c>
      <c r="D7308" s="5">
        <v>41549</v>
      </c>
      <c r="E7308" s="4" t="s">
        <v>1410</v>
      </c>
      <c r="F7308" s="4" t="s">
        <v>4655</v>
      </c>
    </row>
    <row r="7309" spans="1:6" x14ac:dyDescent="0.25">
      <c r="A7309" s="4" t="str">
        <f>CONCATENATE("3071-0000-1990","")</f>
        <v>3071-0000-1990</v>
      </c>
      <c r="B7309" s="4" t="s">
        <v>3132</v>
      </c>
      <c r="C7309" s="5">
        <v>41489</v>
      </c>
      <c r="D7309" s="5">
        <v>41549</v>
      </c>
      <c r="E7309" s="4" t="s">
        <v>2944</v>
      </c>
      <c r="F7309" s="4" t="s">
        <v>2945</v>
      </c>
    </row>
    <row r="7310" spans="1:6" x14ac:dyDescent="0.25">
      <c r="A7310" s="4" t="str">
        <f>CONCATENATE("3071-0000-6834","")</f>
        <v>3071-0000-6834</v>
      </c>
      <c r="B7310" s="4" t="s">
        <v>7821</v>
      </c>
      <c r="C7310" s="5">
        <v>41489</v>
      </c>
      <c r="D7310" s="5">
        <v>41549</v>
      </c>
      <c r="E7310" s="4" t="s">
        <v>1410</v>
      </c>
      <c r="F7310" s="4" t="s">
        <v>4655</v>
      </c>
    </row>
    <row r="7311" spans="1:6" x14ac:dyDescent="0.25">
      <c r="A7311" s="4" t="str">
        <f>CONCATENATE("3071-0000-4810","")</f>
        <v>3071-0000-4810</v>
      </c>
      <c r="B7311" s="4" t="s">
        <v>9220</v>
      </c>
      <c r="C7311" s="5">
        <v>41489</v>
      </c>
      <c r="D7311" s="5">
        <v>41549</v>
      </c>
      <c r="E7311" s="4" t="s">
        <v>7069</v>
      </c>
      <c r="F7311" s="4" t="s">
        <v>9210</v>
      </c>
    </row>
    <row r="7312" spans="1:6" x14ac:dyDescent="0.25">
      <c r="A7312" s="4" t="str">
        <f>CONCATENATE("3071-0000-6148","")</f>
        <v>3071-0000-6148</v>
      </c>
      <c r="B7312" s="4" t="s">
        <v>7728</v>
      </c>
      <c r="C7312" s="5">
        <v>41489</v>
      </c>
      <c r="D7312" s="5">
        <v>41549</v>
      </c>
      <c r="E7312" s="4" t="s">
        <v>1410</v>
      </c>
      <c r="F7312" s="4" t="s">
        <v>1410</v>
      </c>
    </row>
    <row r="7313" spans="1:6" x14ac:dyDescent="0.25">
      <c r="A7313" s="4" t="str">
        <f>CONCATENATE("3071-0000-6152","")</f>
        <v>3071-0000-6152</v>
      </c>
      <c r="B7313" s="4" t="s">
        <v>7727</v>
      </c>
      <c r="C7313" s="5">
        <v>41489</v>
      </c>
      <c r="D7313" s="5">
        <v>41549</v>
      </c>
      <c r="E7313" s="4" t="s">
        <v>1410</v>
      </c>
      <c r="F7313" s="4" t="s">
        <v>1410</v>
      </c>
    </row>
    <row r="7314" spans="1:6" x14ac:dyDescent="0.25">
      <c r="A7314" s="4" t="str">
        <f>CONCATENATE("3071-0000-6172","")</f>
        <v>3071-0000-6172</v>
      </c>
      <c r="B7314" s="4" t="s">
        <v>7687</v>
      </c>
      <c r="C7314" s="5">
        <v>41489</v>
      </c>
      <c r="D7314" s="5">
        <v>41549</v>
      </c>
      <c r="E7314" s="4" t="s">
        <v>1410</v>
      </c>
      <c r="F7314" s="4" t="s">
        <v>1410</v>
      </c>
    </row>
    <row r="7315" spans="1:6" x14ac:dyDescent="0.25">
      <c r="A7315" s="4" t="str">
        <f>CONCATENATE("3071-0000-5788","")</f>
        <v>3071-0000-5788</v>
      </c>
      <c r="B7315" s="4" t="s">
        <v>7038</v>
      </c>
      <c r="C7315" s="5">
        <v>41489</v>
      </c>
      <c r="D7315" s="5">
        <v>41549</v>
      </c>
      <c r="E7315" s="4" t="s">
        <v>5185</v>
      </c>
      <c r="F7315" s="4" t="s">
        <v>5185</v>
      </c>
    </row>
    <row r="7316" spans="1:6" x14ac:dyDescent="0.25">
      <c r="A7316" s="4" t="str">
        <f>CONCATENATE("3071-0000-8795","")</f>
        <v>3071-0000-8795</v>
      </c>
      <c r="B7316" s="4" t="s">
        <v>6565</v>
      </c>
      <c r="C7316" s="5">
        <v>41489</v>
      </c>
      <c r="D7316" s="5">
        <v>41549</v>
      </c>
      <c r="E7316" s="4" t="s">
        <v>5185</v>
      </c>
      <c r="F7316" s="4" t="s">
        <v>5292</v>
      </c>
    </row>
    <row r="7317" spans="1:6" x14ac:dyDescent="0.25">
      <c r="A7317" s="4" t="str">
        <f>CONCATENATE("3071-0000-8821","")</f>
        <v>3071-0000-8821</v>
      </c>
      <c r="B7317" s="4" t="s">
        <v>5924</v>
      </c>
      <c r="C7317" s="5">
        <v>41489</v>
      </c>
      <c r="D7317" s="5">
        <v>41549</v>
      </c>
      <c r="E7317" s="4" t="s">
        <v>5185</v>
      </c>
      <c r="F7317" s="4" t="s">
        <v>4188</v>
      </c>
    </row>
    <row r="7318" spans="1:6" x14ac:dyDescent="0.25">
      <c r="A7318" s="4" t="str">
        <f>CONCATENATE("3071-0000-7277","")</f>
        <v>3071-0000-7277</v>
      </c>
      <c r="B7318" s="4" t="s">
        <v>5138</v>
      </c>
      <c r="C7318" s="5">
        <v>41489</v>
      </c>
      <c r="D7318" s="5">
        <v>41549</v>
      </c>
      <c r="E7318" s="4" t="s">
        <v>1410</v>
      </c>
      <c r="F7318" s="4" t="s">
        <v>1410</v>
      </c>
    </row>
    <row r="7319" spans="1:6" x14ac:dyDescent="0.25">
      <c r="A7319" s="4" t="str">
        <f>CONCATENATE("3071-0000-3913","")</f>
        <v>3071-0000-3913</v>
      </c>
      <c r="B7319" s="4" t="s">
        <v>4137</v>
      </c>
      <c r="C7319" s="5">
        <v>41489</v>
      </c>
      <c r="D7319" s="5">
        <v>41549</v>
      </c>
      <c r="E7319" s="4" t="s">
        <v>2944</v>
      </c>
      <c r="F7319" s="4" t="s">
        <v>3513</v>
      </c>
    </row>
    <row r="7320" spans="1:6" x14ac:dyDescent="0.25">
      <c r="A7320" s="4" t="str">
        <f>CONCATENATE("3071-0000-6532","")</f>
        <v>3071-0000-6532</v>
      </c>
      <c r="B7320" s="4" t="s">
        <v>7959</v>
      </c>
      <c r="C7320" s="5">
        <v>41489</v>
      </c>
      <c r="D7320" s="5">
        <v>41549</v>
      </c>
      <c r="E7320" s="4" t="s">
        <v>5185</v>
      </c>
      <c r="F7320" s="4" t="s">
        <v>5185</v>
      </c>
    </row>
    <row r="7321" spans="1:6" x14ac:dyDescent="0.25">
      <c r="A7321" s="4" t="str">
        <f>CONCATENATE("3071-0000-5813","")</f>
        <v>3071-0000-5813</v>
      </c>
      <c r="B7321" s="4" t="s">
        <v>7515</v>
      </c>
      <c r="C7321" s="5">
        <v>41489</v>
      </c>
      <c r="D7321" s="5">
        <v>41549</v>
      </c>
      <c r="E7321" s="4" t="s">
        <v>5185</v>
      </c>
      <c r="F7321" s="4" t="s">
        <v>5185</v>
      </c>
    </row>
    <row r="7322" spans="1:6" x14ac:dyDescent="0.25">
      <c r="A7322" s="4" t="str">
        <f>CONCATENATE("3071-0000-5301","")</f>
        <v>3071-0000-5301</v>
      </c>
      <c r="B7322" s="4" t="s">
        <v>6761</v>
      </c>
      <c r="C7322" s="5">
        <v>41489</v>
      </c>
      <c r="D7322" s="5">
        <v>41549</v>
      </c>
      <c r="E7322" s="4" t="s">
        <v>1410</v>
      </c>
      <c r="F7322" s="4" t="s">
        <v>6635</v>
      </c>
    </row>
    <row r="7323" spans="1:6" x14ac:dyDescent="0.25">
      <c r="A7323" s="4" t="str">
        <f>CONCATENATE("3071-0000-8323","")</f>
        <v>3071-0000-8323</v>
      </c>
      <c r="B7323" s="4" t="s">
        <v>5462</v>
      </c>
      <c r="C7323" s="5">
        <v>41489</v>
      </c>
      <c r="D7323" s="5">
        <v>41549</v>
      </c>
      <c r="E7323" s="4" t="s">
        <v>5185</v>
      </c>
      <c r="F7323" s="4" t="s">
        <v>5185</v>
      </c>
    </row>
    <row r="7324" spans="1:6" x14ac:dyDescent="0.25">
      <c r="A7324" s="4" t="str">
        <f>CONCATENATE("3071-0000-4023","")</f>
        <v>3071-0000-4023</v>
      </c>
      <c r="B7324" s="4" t="s">
        <v>4218</v>
      </c>
      <c r="C7324" s="5">
        <v>41489</v>
      </c>
      <c r="D7324" s="5">
        <v>41549</v>
      </c>
      <c r="E7324" s="4" t="s">
        <v>7</v>
      </c>
      <c r="F7324" s="4" t="s">
        <v>1419</v>
      </c>
    </row>
    <row r="7325" spans="1:6" x14ac:dyDescent="0.25">
      <c r="A7325" s="4" t="str">
        <f>CONCATENATE("3071-0000-4016","")</f>
        <v>3071-0000-4016</v>
      </c>
      <c r="B7325" s="4" t="s">
        <v>4224</v>
      </c>
      <c r="C7325" s="5">
        <v>41489</v>
      </c>
      <c r="D7325" s="5">
        <v>41549</v>
      </c>
      <c r="E7325" s="4" t="s">
        <v>7</v>
      </c>
      <c r="F7325" s="4" t="s">
        <v>1419</v>
      </c>
    </row>
    <row r="7326" spans="1:6" x14ac:dyDescent="0.25">
      <c r="A7326" s="4" t="str">
        <f>CONCATENATE("3071-0000-3893","")</f>
        <v>3071-0000-3893</v>
      </c>
      <c r="B7326" s="4" t="s">
        <v>4111</v>
      </c>
      <c r="C7326" s="5">
        <v>41489</v>
      </c>
      <c r="D7326" s="5">
        <v>41549</v>
      </c>
      <c r="E7326" s="4" t="s">
        <v>2944</v>
      </c>
      <c r="F7326" s="4" t="s">
        <v>3513</v>
      </c>
    </row>
    <row r="7327" spans="1:6" x14ac:dyDescent="0.25">
      <c r="A7327" s="4" t="str">
        <f>CONCATENATE("3071-0000-5085","")</f>
        <v>3071-0000-5085</v>
      </c>
      <c r="B7327" s="4" t="s">
        <v>9197</v>
      </c>
      <c r="C7327" s="5">
        <v>41489</v>
      </c>
      <c r="D7327" s="5">
        <v>41549</v>
      </c>
      <c r="E7327" s="4" t="s">
        <v>7069</v>
      </c>
      <c r="F7327" s="4" t="s">
        <v>7070</v>
      </c>
    </row>
    <row r="7328" spans="1:6" x14ac:dyDescent="0.25">
      <c r="A7328" s="4" t="str">
        <f>CONCATENATE("3071-0000-1727","")</f>
        <v>3071-0000-1727</v>
      </c>
      <c r="B7328" s="4" t="s">
        <v>2614</v>
      </c>
      <c r="C7328" s="5">
        <v>41489</v>
      </c>
      <c r="D7328" s="5">
        <v>41549</v>
      </c>
      <c r="E7328" s="4" t="s">
        <v>1381</v>
      </c>
      <c r="F7328" s="4" t="s">
        <v>2303</v>
      </c>
    </row>
    <row r="7329" spans="1:6" x14ac:dyDescent="0.25">
      <c r="A7329" s="4" t="str">
        <f>CONCATENATE("3071-0000-0813","")</f>
        <v>3071-0000-0813</v>
      </c>
      <c r="B7329" s="4" t="s">
        <v>2055</v>
      </c>
      <c r="C7329" s="5">
        <v>41489</v>
      </c>
      <c r="D7329" s="5">
        <v>41549</v>
      </c>
      <c r="E7329" s="4" t="s">
        <v>1857</v>
      </c>
      <c r="F7329" s="4" t="s">
        <v>1857</v>
      </c>
    </row>
    <row r="7330" spans="1:6" x14ac:dyDescent="0.25">
      <c r="A7330" s="4" t="str">
        <f>CONCATENATE("3071-0000-1732","")</f>
        <v>3071-0000-1732</v>
      </c>
      <c r="B7330" s="4" t="s">
        <v>2615</v>
      </c>
      <c r="C7330" s="5">
        <v>41489</v>
      </c>
      <c r="D7330" s="5">
        <v>41549</v>
      </c>
      <c r="E7330" s="4" t="s">
        <v>1381</v>
      </c>
      <c r="F7330" s="4" t="s">
        <v>2303</v>
      </c>
    </row>
    <row r="7331" spans="1:6" x14ac:dyDescent="0.25">
      <c r="A7331" s="4" t="str">
        <f>CONCATENATE("3071-0000-1362","")</f>
        <v>3071-0000-1362</v>
      </c>
      <c r="B7331" s="4" t="s">
        <v>9700</v>
      </c>
      <c r="C7331" s="5">
        <v>41489</v>
      </c>
      <c r="D7331" s="5">
        <v>41549</v>
      </c>
      <c r="E7331" s="4" t="s">
        <v>1381</v>
      </c>
      <c r="F7331" s="4" t="s">
        <v>2303</v>
      </c>
    </row>
    <row r="7332" spans="1:6" x14ac:dyDescent="0.25">
      <c r="A7332" s="4" t="str">
        <f>CONCATENATE("3071-0000-1810","")</f>
        <v>3071-0000-1810</v>
      </c>
      <c r="B7332" s="4" t="s">
        <v>2507</v>
      </c>
      <c r="C7332" s="5">
        <v>41489</v>
      </c>
      <c r="D7332" s="5">
        <v>41549</v>
      </c>
      <c r="E7332" s="4" t="s">
        <v>1381</v>
      </c>
      <c r="F7332" s="4" t="s">
        <v>2303</v>
      </c>
    </row>
    <row r="7333" spans="1:6" x14ac:dyDescent="0.25">
      <c r="A7333" s="4" t="str">
        <f>CONCATENATE("3071-0000-4132","")</f>
        <v>3071-0000-4132</v>
      </c>
      <c r="B7333" s="4" t="s">
        <v>4260</v>
      </c>
      <c r="C7333" s="5">
        <v>41489</v>
      </c>
      <c r="D7333" s="5">
        <v>41549</v>
      </c>
      <c r="E7333" s="4" t="s">
        <v>7</v>
      </c>
      <c r="F7333" s="4" t="s">
        <v>1419</v>
      </c>
    </row>
    <row r="7334" spans="1:6" x14ac:dyDescent="0.25">
      <c r="A7334" s="4" t="str">
        <f>CONCATENATE("3071-0000-7048","")</f>
        <v>3071-0000-7048</v>
      </c>
      <c r="B7334" s="4" t="s">
        <v>4737</v>
      </c>
      <c r="C7334" s="5">
        <v>41489</v>
      </c>
      <c r="D7334" s="5">
        <v>41549</v>
      </c>
      <c r="E7334" s="4" t="s">
        <v>1410</v>
      </c>
      <c r="F7334" s="4" t="s">
        <v>1410</v>
      </c>
    </row>
    <row r="7335" spans="1:6" x14ac:dyDescent="0.25">
      <c r="A7335" s="4" t="str">
        <f>CONCATENATE("3071-0000-3553","")</f>
        <v>3071-0000-3553</v>
      </c>
      <c r="B7335" s="4" t="s">
        <v>1491</v>
      </c>
      <c r="C7335" s="5">
        <v>41489</v>
      </c>
      <c r="D7335" s="5">
        <v>41549</v>
      </c>
      <c r="E7335" s="4" t="s">
        <v>1410</v>
      </c>
      <c r="F7335" s="4" t="s">
        <v>1411</v>
      </c>
    </row>
    <row r="7336" spans="1:6" x14ac:dyDescent="0.25">
      <c r="A7336" s="4" t="str">
        <f>CONCATENATE("3071-0000-3425","")</f>
        <v>3071-0000-3425</v>
      </c>
      <c r="B7336" s="4" t="s">
        <v>1691</v>
      </c>
      <c r="C7336" s="5">
        <v>41489</v>
      </c>
      <c r="D7336" s="5">
        <v>41549</v>
      </c>
      <c r="E7336" s="4" t="s">
        <v>1410</v>
      </c>
      <c r="F7336" s="4" t="s">
        <v>1411</v>
      </c>
    </row>
    <row r="7337" spans="1:6" x14ac:dyDescent="0.25">
      <c r="A7337" s="4" t="str">
        <f>CONCATENATE("3071-0000-1155","")</f>
        <v>3071-0000-1155</v>
      </c>
      <c r="B7337" s="4" t="s">
        <v>2155</v>
      </c>
      <c r="C7337" s="5">
        <v>41489</v>
      </c>
      <c r="D7337" s="5">
        <v>41549</v>
      </c>
      <c r="E7337" s="4" t="s">
        <v>1857</v>
      </c>
      <c r="F7337" s="4" t="s">
        <v>2144</v>
      </c>
    </row>
    <row r="7338" spans="1:6" x14ac:dyDescent="0.25">
      <c r="A7338" s="4" t="str">
        <f>CONCATENATE("3071-0000-2630","")</f>
        <v>3071-0000-2630</v>
      </c>
      <c r="B7338" s="4" t="s">
        <v>3114</v>
      </c>
      <c r="C7338" s="5">
        <v>41489</v>
      </c>
      <c r="D7338" s="5">
        <v>41549</v>
      </c>
      <c r="E7338" s="4" t="s">
        <v>2944</v>
      </c>
      <c r="F7338" s="4" t="s">
        <v>2945</v>
      </c>
    </row>
    <row r="7339" spans="1:6" x14ac:dyDescent="0.25">
      <c r="A7339" s="4" t="str">
        <f>CONCATENATE("3071-0000-2678","")</f>
        <v>3071-0000-2678</v>
      </c>
      <c r="B7339" s="4" t="s">
        <v>3094</v>
      </c>
      <c r="C7339" s="5">
        <v>41489</v>
      </c>
      <c r="D7339" s="5">
        <v>41549</v>
      </c>
      <c r="E7339" s="4" t="s">
        <v>2944</v>
      </c>
      <c r="F7339" s="4" t="s">
        <v>2945</v>
      </c>
    </row>
    <row r="7340" spans="1:6" x14ac:dyDescent="0.25">
      <c r="A7340" s="4" t="str">
        <f>CONCATENATE("3071-0000-4929","")</f>
        <v>3071-0000-4929</v>
      </c>
      <c r="B7340" s="4" t="s">
        <v>9452</v>
      </c>
      <c r="C7340" s="5">
        <v>41489</v>
      </c>
      <c r="D7340" s="5">
        <v>41549</v>
      </c>
      <c r="E7340" s="4" t="s">
        <v>7069</v>
      </c>
      <c r="F7340" s="4" t="s">
        <v>9210</v>
      </c>
    </row>
    <row r="7341" spans="1:6" x14ac:dyDescent="0.25">
      <c r="A7341" s="4" t="str">
        <f>CONCATENATE("3071-0000-2381","")</f>
        <v>3071-0000-2381</v>
      </c>
      <c r="B7341" s="4" t="s">
        <v>3470</v>
      </c>
      <c r="C7341" s="5">
        <v>41489</v>
      </c>
      <c r="D7341" s="5">
        <v>41549</v>
      </c>
      <c r="E7341" s="4" t="s">
        <v>2944</v>
      </c>
      <c r="F7341" s="4" t="s">
        <v>3434</v>
      </c>
    </row>
    <row r="7342" spans="1:6" x14ac:dyDescent="0.25">
      <c r="A7342" s="4" t="str">
        <f>CONCATENATE("3071-0000-1882","")</f>
        <v>3071-0000-1882</v>
      </c>
      <c r="B7342" s="4" t="s">
        <v>2946</v>
      </c>
      <c r="C7342" s="5">
        <v>41489</v>
      </c>
      <c r="D7342" s="5">
        <v>41549</v>
      </c>
      <c r="E7342" s="4" t="s">
        <v>2944</v>
      </c>
      <c r="F7342" s="4" t="s">
        <v>2945</v>
      </c>
    </row>
    <row r="7343" spans="1:6" x14ac:dyDescent="0.25">
      <c r="A7343" s="4" t="str">
        <f>CONCATENATE("3071-0000-2640","")</f>
        <v>3071-0000-2640</v>
      </c>
      <c r="B7343" s="4" t="s">
        <v>3084</v>
      </c>
      <c r="C7343" s="5">
        <v>41489</v>
      </c>
      <c r="D7343" s="5">
        <v>41549</v>
      </c>
      <c r="E7343" s="4" t="s">
        <v>2944</v>
      </c>
      <c r="F7343" s="4" t="s">
        <v>2945</v>
      </c>
    </row>
    <row r="7344" spans="1:6" x14ac:dyDescent="0.25">
      <c r="A7344" s="4" t="str">
        <f>CONCATENATE("3071-0000-5851","")</f>
        <v>3071-0000-5851</v>
      </c>
      <c r="B7344" s="4" t="s">
        <v>7369</v>
      </c>
      <c r="C7344" s="5">
        <v>41489</v>
      </c>
      <c r="D7344" s="5">
        <v>41549</v>
      </c>
      <c r="E7344" s="4" t="s">
        <v>5185</v>
      </c>
      <c r="F7344" s="4" t="s">
        <v>5185</v>
      </c>
    </row>
    <row r="7345" spans="1:6" x14ac:dyDescent="0.25">
      <c r="A7345" s="4" t="str">
        <f>CONCATENATE("3071-0000-5391","")</f>
        <v>3071-0000-5391</v>
      </c>
      <c r="B7345" s="4" t="s">
        <v>6874</v>
      </c>
      <c r="C7345" s="5">
        <v>41489</v>
      </c>
      <c r="D7345" s="5">
        <v>41549</v>
      </c>
      <c r="E7345" s="4" t="s">
        <v>5185</v>
      </c>
      <c r="F7345" s="4" t="s">
        <v>5185</v>
      </c>
    </row>
    <row r="7346" spans="1:6" x14ac:dyDescent="0.25">
      <c r="A7346" s="4" t="str">
        <f>CONCATENATE("3071-0000-8381","")</f>
        <v>3071-0000-8381</v>
      </c>
      <c r="B7346" s="4" t="s">
        <v>5422</v>
      </c>
      <c r="C7346" s="5">
        <v>41489</v>
      </c>
      <c r="D7346" s="5">
        <v>41549</v>
      </c>
      <c r="E7346" s="4" t="s">
        <v>5185</v>
      </c>
      <c r="F7346" s="4" t="s">
        <v>5185</v>
      </c>
    </row>
    <row r="7347" spans="1:6" x14ac:dyDescent="0.25">
      <c r="A7347" s="4" t="str">
        <f>CONCATENATE("3071-0000-0143","")</f>
        <v>3071-0000-0143</v>
      </c>
      <c r="B7347" s="4" t="s">
        <v>317</v>
      </c>
      <c r="C7347" s="5">
        <v>41489</v>
      </c>
      <c r="D7347" s="5">
        <v>41549</v>
      </c>
      <c r="E7347" s="4" t="s">
        <v>7</v>
      </c>
      <c r="F7347" s="4" t="s">
        <v>7</v>
      </c>
    </row>
    <row r="7348" spans="1:6" x14ac:dyDescent="0.25">
      <c r="A7348" s="4" t="str">
        <f>CONCATENATE("3071-0000-7877","")</f>
        <v>3071-0000-7877</v>
      </c>
      <c r="B7348" s="4" t="s">
        <v>5479</v>
      </c>
      <c r="C7348" s="5">
        <v>41489</v>
      </c>
      <c r="D7348" s="5">
        <v>41549</v>
      </c>
      <c r="E7348" s="4" t="s">
        <v>5185</v>
      </c>
      <c r="F7348" s="4" t="s">
        <v>5185</v>
      </c>
    </row>
    <row r="7349" spans="1:6" x14ac:dyDescent="0.25">
      <c r="A7349" s="4" t="str">
        <f>CONCATENATE("3071-0000-5661","")</f>
        <v>3071-0000-5661</v>
      </c>
      <c r="B7349" s="4" t="s">
        <v>7141</v>
      </c>
      <c r="C7349" s="5">
        <v>41489</v>
      </c>
      <c r="D7349" s="5">
        <v>41549</v>
      </c>
      <c r="E7349" s="4" t="s">
        <v>5185</v>
      </c>
      <c r="F7349" s="4" t="s">
        <v>5185</v>
      </c>
    </row>
    <row r="7350" spans="1:6" x14ac:dyDescent="0.25">
      <c r="A7350" s="4" t="str">
        <f>CONCATENATE("3071-0000-8884","")</f>
        <v>3071-0000-8884</v>
      </c>
      <c r="B7350" s="4" t="s">
        <v>5836</v>
      </c>
      <c r="C7350" s="5">
        <v>41489</v>
      </c>
      <c r="D7350" s="5">
        <v>41549</v>
      </c>
      <c r="E7350" s="4" t="s">
        <v>5185</v>
      </c>
      <c r="F7350" s="4" t="s">
        <v>4188</v>
      </c>
    </row>
    <row r="7351" spans="1:6" x14ac:dyDescent="0.25">
      <c r="A7351" s="4" t="str">
        <f>CONCATENATE("3071-0000-7852","")</f>
        <v>3071-0000-7852</v>
      </c>
      <c r="B7351" s="4" t="s">
        <v>6304</v>
      </c>
      <c r="C7351" s="5">
        <v>41489</v>
      </c>
      <c r="D7351" s="5">
        <v>41549</v>
      </c>
      <c r="E7351" s="4" t="s">
        <v>5185</v>
      </c>
      <c r="F7351" s="4" t="s">
        <v>5185</v>
      </c>
    </row>
    <row r="7352" spans="1:6" x14ac:dyDescent="0.25">
      <c r="A7352" s="4" t="str">
        <f>CONCATENATE("3071-0000-8972","")</f>
        <v>3071-0000-8972</v>
      </c>
      <c r="B7352" s="4" t="s">
        <v>6258</v>
      </c>
      <c r="C7352" s="5">
        <v>41489</v>
      </c>
      <c r="D7352" s="5">
        <v>41549</v>
      </c>
      <c r="E7352" s="4" t="s">
        <v>5185</v>
      </c>
      <c r="F7352" s="4" t="s">
        <v>6181</v>
      </c>
    </row>
    <row r="7353" spans="1:6" x14ac:dyDescent="0.25">
      <c r="A7353" s="4" t="str">
        <f>CONCATENATE("3071-0000-8540","")</f>
        <v>3071-0000-8540</v>
      </c>
      <c r="B7353" s="4" t="s">
        <v>6131</v>
      </c>
      <c r="C7353" s="5">
        <v>41489</v>
      </c>
      <c r="D7353" s="5">
        <v>41549</v>
      </c>
      <c r="E7353" s="4" t="s">
        <v>5185</v>
      </c>
      <c r="F7353" s="4" t="s">
        <v>5945</v>
      </c>
    </row>
    <row r="7354" spans="1:6" x14ac:dyDescent="0.25">
      <c r="A7354" s="4" t="str">
        <f>CONCATENATE("3071-0000-9164","")</f>
        <v>3071-0000-9164</v>
      </c>
      <c r="B7354" s="4" t="s">
        <v>6176</v>
      </c>
      <c r="C7354" s="5">
        <v>41489</v>
      </c>
      <c r="D7354" s="5">
        <v>41549</v>
      </c>
      <c r="E7354" s="4" t="s">
        <v>5185</v>
      </c>
      <c r="F7354" s="4" t="s">
        <v>5945</v>
      </c>
    </row>
    <row r="7355" spans="1:6" x14ac:dyDescent="0.25">
      <c r="A7355" s="4" t="str">
        <f>CONCATENATE("3071-0000-8538","")</f>
        <v>3071-0000-8538</v>
      </c>
      <c r="B7355" s="4" t="s">
        <v>6137</v>
      </c>
      <c r="C7355" s="5">
        <v>41489</v>
      </c>
      <c r="D7355" s="5">
        <v>41549</v>
      </c>
      <c r="E7355" s="4" t="s">
        <v>5185</v>
      </c>
      <c r="F7355" s="4" t="s">
        <v>5945</v>
      </c>
    </row>
    <row r="7356" spans="1:6" x14ac:dyDescent="0.25">
      <c r="A7356" s="4" t="str">
        <f>CONCATENATE("3071-0000-7410","")</f>
        <v>3071-0000-7410</v>
      </c>
      <c r="B7356" s="4" t="s">
        <v>4544</v>
      </c>
      <c r="C7356" s="5">
        <v>41489</v>
      </c>
      <c r="D7356" s="5">
        <v>41549</v>
      </c>
      <c r="E7356" s="4" t="s">
        <v>1410</v>
      </c>
      <c r="F7356" s="4" t="s">
        <v>1410</v>
      </c>
    </row>
    <row r="7357" spans="1:6" x14ac:dyDescent="0.25">
      <c r="A7357" s="4" t="str">
        <f>CONCATENATE("3071-0000-1423","")</f>
        <v>3071-0000-1423</v>
      </c>
      <c r="B7357" s="4" t="s">
        <v>2650</v>
      </c>
      <c r="C7357" s="5">
        <v>41489</v>
      </c>
      <c r="D7357" s="5">
        <v>41549</v>
      </c>
      <c r="E7357" s="4" t="s">
        <v>1381</v>
      </c>
      <c r="F7357" s="4" t="s">
        <v>2303</v>
      </c>
    </row>
    <row r="7358" spans="1:6" x14ac:dyDescent="0.25">
      <c r="A7358" s="4" t="str">
        <f>CONCATENATE("3071-0000-3293","")</f>
        <v>3071-0000-3293</v>
      </c>
      <c r="B7358" s="4" t="s">
        <v>1111</v>
      </c>
      <c r="C7358" s="5">
        <v>41489</v>
      </c>
      <c r="D7358" s="5">
        <v>41549</v>
      </c>
      <c r="E7358" s="4" t="s">
        <v>7</v>
      </c>
      <c r="F7358" s="4" t="s">
        <v>808</v>
      </c>
    </row>
    <row r="7359" spans="1:6" x14ac:dyDescent="0.25">
      <c r="A7359" s="4" t="str">
        <f>CONCATENATE("3071-0000-1441","")</f>
        <v>3071-0000-1441</v>
      </c>
      <c r="B7359" s="4" t="s">
        <v>2674</v>
      </c>
      <c r="C7359" s="5">
        <v>41489</v>
      </c>
      <c r="D7359" s="5">
        <v>41549</v>
      </c>
      <c r="E7359" s="4" t="s">
        <v>1381</v>
      </c>
      <c r="F7359" s="4" t="s">
        <v>2303</v>
      </c>
    </row>
    <row r="7360" spans="1:6" x14ac:dyDescent="0.25">
      <c r="A7360" s="4" t="str">
        <f>CONCATENATE("3071-0000-1453","")</f>
        <v>3071-0000-1453</v>
      </c>
      <c r="B7360" s="4" t="s">
        <v>2692</v>
      </c>
      <c r="C7360" s="5">
        <v>41489</v>
      </c>
      <c r="D7360" s="5">
        <v>41549</v>
      </c>
      <c r="E7360" s="4" t="s">
        <v>1381</v>
      </c>
      <c r="F7360" s="4" t="s">
        <v>2303</v>
      </c>
    </row>
    <row r="7361" spans="1:6" x14ac:dyDescent="0.25">
      <c r="A7361" s="4" t="str">
        <f>CONCATENATE("3071-0000-8420","")</f>
        <v>3071-0000-8420</v>
      </c>
      <c r="B7361" s="4" t="s">
        <v>6249</v>
      </c>
      <c r="C7361" s="5">
        <v>41489</v>
      </c>
      <c r="D7361" s="5">
        <v>41549</v>
      </c>
      <c r="E7361" s="4" t="s">
        <v>5185</v>
      </c>
      <c r="F7361" s="4" t="s">
        <v>5185</v>
      </c>
    </row>
    <row r="7362" spans="1:6" x14ac:dyDescent="0.25">
      <c r="A7362" s="4" t="str">
        <f>CONCATENATE("3071-0000-0331","")</f>
        <v>3071-0000-0331</v>
      </c>
      <c r="B7362" s="4" t="s">
        <v>249</v>
      </c>
      <c r="C7362" s="5">
        <v>41489</v>
      </c>
      <c r="D7362" s="5">
        <v>41549</v>
      </c>
      <c r="E7362" s="4" t="s">
        <v>7</v>
      </c>
      <c r="F7362" s="4" t="s">
        <v>7</v>
      </c>
    </row>
    <row r="7363" spans="1:6" x14ac:dyDescent="0.25">
      <c r="A7363" s="4" t="str">
        <f>CONCATENATE("3071-0000-4514","")</f>
        <v>3071-0000-4514</v>
      </c>
      <c r="B7363" s="4" t="s">
        <v>9519</v>
      </c>
      <c r="C7363" s="5">
        <v>41489</v>
      </c>
      <c r="D7363" s="5">
        <v>41549</v>
      </c>
      <c r="E7363" s="4" t="s">
        <v>1410</v>
      </c>
      <c r="F7363" s="4" t="s">
        <v>8696</v>
      </c>
    </row>
    <row r="7364" spans="1:6" x14ac:dyDescent="0.25">
      <c r="A7364" s="4" t="str">
        <f>CONCATENATE("3071-0000-5471","")</f>
        <v>3071-0000-5471</v>
      </c>
      <c r="B7364" s="4" t="s">
        <v>6893</v>
      </c>
      <c r="C7364" s="5">
        <v>41489</v>
      </c>
      <c r="D7364" s="5">
        <v>41549</v>
      </c>
      <c r="E7364" s="4" t="s">
        <v>5185</v>
      </c>
      <c r="F7364" s="4" t="s">
        <v>5185</v>
      </c>
    </row>
    <row r="7365" spans="1:6" x14ac:dyDescent="0.25">
      <c r="A7365" s="4" t="str">
        <f>CONCATENATE("3071-0000-6298","")</f>
        <v>3071-0000-6298</v>
      </c>
      <c r="B7365" s="4" t="s">
        <v>7094</v>
      </c>
      <c r="C7365" s="5">
        <v>41489</v>
      </c>
      <c r="D7365" s="5">
        <v>41549</v>
      </c>
      <c r="E7365" s="4" t="s">
        <v>7069</v>
      </c>
      <c r="F7365" s="4" t="s">
        <v>7070</v>
      </c>
    </row>
    <row r="7366" spans="1:6" x14ac:dyDescent="0.25">
      <c r="A7366" s="4" t="str">
        <f>CONCATENATE("3071-0000-4676","")</f>
        <v>3071-0000-4676</v>
      </c>
      <c r="B7366" s="4" t="s">
        <v>9189</v>
      </c>
      <c r="C7366" s="5">
        <v>41489</v>
      </c>
      <c r="D7366" s="5">
        <v>41549</v>
      </c>
      <c r="E7366" s="4" t="s">
        <v>1410</v>
      </c>
      <c r="F7366" s="4" t="s">
        <v>8696</v>
      </c>
    </row>
    <row r="7367" spans="1:6" x14ac:dyDescent="0.25">
      <c r="A7367" s="4" t="str">
        <f>CONCATENATE("3071-0000-8430","")</f>
        <v>3071-0000-8430</v>
      </c>
      <c r="B7367" s="4" t="s">
        <v>5282</v>
      </c>
      <c r="C7367" s="5">
        <v>41489</v>
      </c>
      <c r="D7367" s="5">
        <v>41549</v>
      </c>
      <c r="E7367" s="4" t="s">
        <v>5185</v>
      </c>
      <c r="F7367" s="4" t="s">
        <v>5185</v>
      </c>
    </row>
    <row r="7368" spans="1:6" x14ac:dyDescent="0.25">
      <c r="A7368" s="4" t="str">
        <f>CONCATENATE("3071-0000-6332","")</f>
        <v>3071-0000-6332</v>
      </c>
      <c r="B7368" s="4" t="s">
        <v>7401</v>
      </c>
      <c r="C7368" s="5">
        <v>41489</v>
      </c>
      <c r="D7368" s="5">
        <v>41549</v>
      </c>
      <c r="E7368" s="4" t="s">
        <v>1410</v>
      </c>
      <c r="F7368" s="4" t="s">
        <v>7309</v>
      </c>
    </row>
    <row r="7369" spans="1:6" x14ac:dyDescent="0.25">
      <c r="A7369" s="4" t="str">
        <f>CONCATENATE("3071-0000-2921","")</f>
        <v>3071-0000-2921</v>
      </c>
      <c r="B7369" s="4" t="s">
        <v>1338</v>
      </c>
      <c r="C7369" s="5">
        <v>41489</v>
      </c>
      <c r="D7369" s="5">
        <v>41549</v>
      </c>
      <c r="E7369" s="4" t="s">
        <v>7</v>
      </c>
      <c r="F7369" s="4" t="s">
        <v>808</v>
      </c>
    </row>
    <row r="7370" spans="1:6" x14ac:dyDescent="0.25">
      <c r="A7370" s="4" t="str">
        <f>CONCATENATE("3071-0000-7827","")</f>
        <v>3071-0000-7827</v>
      </c>
      <c r="B7370" s="4" t="s">
        <v>5539</v>
      </c>
      <c r="C7370" s="5">
        <v>41489</v>
      </c>
      <c r="D7370" s="5">
        <v>41549</v>
      </c>
      <c r="E7370" s="4" t="s">
        <v>5185</v>
      </c>
      <c r="F7370" s="4" t="s">
        <v>5185</v>
      </c>
    </row>
    <row r="7371" spans="1:6" x14ac:dyDescent="0.25">
      <c r="A7371" s="4" t="str">
        <f>CONCATENATE("3071-0000-0141","")</f>
        <v>3071-0000-0141</v>
      </c>
      <c r="B7371" s="4" t="s">
        <v>315</v>
      </c>
      <c r="C7371" s="5">
        <v>41489</v>
      </c>
      <c r="D7371" s="5">
        <v>41549</v>
      </c>
      <c r="E7371" s="4" t="s">
        <v>7</v>
      </c>
      <c r="F7371" s="4" t="s">
        <v>7</v>
      </c>
    </row>
    <row r="7372" spans="1:6" x14ac:dyDescent="0.25">
      <c r="A7372" s="4" t="str">
        <f>CONCATENATE("3071-0000-3880","")</f>
        <v>3071-0000-3880</v>
      </c>
      <c r="B7372" s="4" t="s">
        <v>4035</v>
      </c>
      <c r="C7372" s="5">
        <v>41489</v>
      </c>
      <c r="D7372" s="5">
        <v>41549</v>
      </c>
      <c r="E7372" s="4" t="s">
        <v>1381</v>
      </c>
      <c r="F7372" s="4" t="s">
        <v>3994</v>
      </c>
    </row>
    <row r="7373" spans="1:6" x14ac:dyDescent="0.25">
      <c r="A7373" s="4" t="str">
        <f>CONCATENATE("3071-0000-5047","")</f>
        <v>3071-0000-5047</v>
      </c>
      <c r="B7373" s="4" t="s">
        <v>9621</v>
      </c>
      <c r="C7373" s="5">
        <v>41489</v>
      </c>
      <c r="D7373" s="5">
        <v>41549</v>
      </c>
      <c r="E7373" s="4" t="s">
        <v>7069</v>
      </c>
      <c r="F7373" s="4" t="s">
        <v>9485</v>
      </c>
    </row>
    <row r="7374" spans="1:6" x14ac:dyDescent="0.25">
      <c r="A7374" s="4" t="str">
        <f>CONCATENATE("3071-0000-6026","")</f>
        <v>3071-0000-6026</v>
      </c>
      <c r="B7374" s="4" t="s">
        <v>7186</v>
      </c>
      <c r="C7374" s="5">
        <v>41489</v>
      </c>
      <c r="D7374" s="5">
        <v>41549</v>
      </c>
      <c r="E7374" s="4" t="s">
        <v>7069</v>
      </c>
      <c r="F7374" s="4" t="s">
        <v>7183</v>
      </c>
    </row>
    <row r="7375" spans="1:6" x14ac:dyDescent="0.25">
      <c r="A7375" s="4" t="str">
        <f>CONCATENATE("3071-0000-5535","")</f>
        <v>3071-0000-5535</v>
      </c>
      <c r="B7375" s="4" t="s">
        <v>7391</v>
      </c>
      <c r="C7375" s="5">
        <v>41489</v>
      </c>
      <c r="D7375" s="5">
        <v>41549</v>
      </c>
      <c r="E7375" s="4" t="s">
        <v>5185</v>
      </c>
      <c r="F7375" s="4" t="s">
        <v>5185</v>
      </c>
    </row>
    <row r="7376" spans="1:6" x14ac:dyDescent="0.25">
      <c r="A7376" s="4" t="str">
        <f>CONCATENATE("3071-0000-5859","")</f>
        <v>3071-0000-5859</v>
      </c>
      <c r="B7376" s="4" t="s">
        <v>7375</v>
      </c>
      <c r="C7376" s="5">
        <v>41489</v>
      </c>
      <c r="D7376" s="5">
        <v>41549</v>
      </c>
      <c r="E7376" s="4" t="s">
        <v>5185</v>
      </c>
      <c r="F7376" s="4" t="s">
        <v>5185</v>
      </c>
    </row>
    <row r="7377" spans="1:6" x14ac:dyDescent="0.25">
      <c r="A7377" s="4" t="str">
        <f>CONCATENATE("3071-0000-4519","")</f>
        <v>3071-0000-4519</v>
      </c>
      <c r="B7377" s="4" t="s">
        <v>9528</v>
      </c>
      <c r="C7377" s="5">
        <v>41489</v>
      </c>
      <c r="D7377" s="5">
        <v>41549</v>
      </c>
      <c r="E7377" s="4" t="s">
        <v>1410</v>
      </c>
      <c r="F7377" s="4" t="s">
        <v>8696</v>
      </c>
    </row>
    <row r="7378" spans="1:6" x14ac:dyDescent="0.25">
      <c r="A7378" s="4" t="str">
        <f>CONCATENATE("3071-0000-8921","")</f>
        <v>3071-0000-8921</v>
      </c>
      <c r="B7378" s="4" t="s">
        <v>5338</v>
      </c>
      <c r="C7378" s="5">
        <v>41489</v>
      </c>
      <c r="D7378" s="5">
        <v>41549</v>
      </c>
      <c r="E7378" s="4" t="s">
        <v>1410</v>
      </c>
      <c r="F7378" s="4" t="s">
        <v>4616</v>
      </c>
    </row>
    <row r="7379" spans="1:6" x14ac:dyDescent="0.25">
      <c r="A7379" s="4" t="str">
        <f>CONCATENATE("3071-0000-5183","")</f>
        <v>3071-0000-5183</v>
      </c>
      <c r="B7379" s="4" t="s">
        <v>9488</v>
      </c>
      <c r="C7379" s="5">
        <v>41489</v>
      </c>
      <c r="D7379" s="5">
        <v>41549</v>
      </c>
      <c r="E7379" s="4" t="s">
        <v>7069</v>
      </c>
      <c r="F7379" s="4" t="s">
        <v>9485</v>
      </c>
    </row>
    <row r="7380" spans="1:6" x14ac:dyDescent="0.25">
      <c r="A7380" s="4" t="str">
        <f>CONCATENATE("3071-0000-2513","")</f>
        <v>3071-0000-2513</v>
      </c>
      <c r="B7380" s="4" t="s">
        <v>3618</v>
      </c>
      <c r="C7380" s="5">
        <v>41489</v>
      </c>
      <c r="D7380" s="5">
        <v>41549</v>
      </c>
      <c r="E7380" s="4" t="s">
        <v>2944</v>
      </c>
      <c r="F7380" s="4" t="s">
        <v>3567</v>
      </c>
    </row>
    <row r="7381" spans="1:6" x14ac:dyDescent="0.25">
      <c r="A7381" s="4" t="str">
        <f>CONCATENATE("3071-0000-8211","")</f>
        <v>3071-0000-8211</v>
      </c>
      <c r="B7381" s="4" t="s">
        <v>5518</v>
      </c>
      <c r="C7381" s="5">
        <v>41489</v>
      </c>
      <c r="D7381" s="5">
        <v>41549</v>
      </c>
      <c r="E7381" s="4" t="s">
        <v>5185</v>
      </c>
      <c r="F7381" s="4" t="s">
        <v>5185</v>
      </c>
    </row>
    <row r="7382" spans="1:6" x14ac:dyDescent="0.25">
      <c r="A7382" s="4" t="str">
        <f>CONCATENATE("3071-0000-4799","")</f>
        <v>3071-0000-4799</v>
      </c>
      <c r="B7382" s="4" t="s">
        <v>9541</v>
      </c>
      <c r="C7382" s="5">
        <v>41489</v>
      </c>
      <c r="D7382" s="5">
        <v>41549</v>
      </c>
      <c r="E7382" s="4" t="s">
        <v>1410</v>
      </c>
      <c r="F7382" s="4" t="s">
        <v>8696</v>
      </c>
    </row>
    <row r="7383" spans="1:6" x14ac:dyDescent="0.25">
      <c r="A7383" s="4" t="str">
        <f>CONCATENATE("3071-0000-4525","")</f>
        <v>3071-0000-4525</v>
      </c>
      <c r="B7383" s="4" t="s">
        <v>9538</v>
      </c>
      <c r="C7383" s="5">
        <v>41489</v>
      </c>
      <c r="D7383" s="5">
        <v>41549</v>
      </c>
      <c r="E7383" s="4" t="s">
        <v>1410</v>
      </c>
      <c r="F7383" s="4" t="s">
        <v>8696</v>
      </c>
    </row>
    <row r="7384" spans="1:6" x14ac:dyDescent="0.25">
      <c r="A7384" s="4" t="str">
        <f>CONCATENATE("3071-0000-6879","")</f>
        <v>3071-0000-6879</v>
      </c>
      <c r="B7384" s="4" t="s">
        <v>4312</v>
      </c>
      <c r="C7384" s="5">
        <v>41489</v>
      </c>
      <c r="D7384" s="5">
        <v>41549</v>
      </c>
      <c r="E7384" s="4" t="s">
        <v>1410</v>
      </c>
      <c r="F7384" s="4" t="s">
        <v>1410</v>
      </c>
    </row>
    <row r="7385" spans="1:6" x14ac:dyDescent="0.25">
      <c r="A7385" s="4" t="str">
        <f>CONCATENATE("3071-0000-5994","")</f>
        <v>3071-0000-5994</v>
      </c>
      <c r="B7385" s="4" t="s">
        <v>7289</v>
      </c>
      <c r="C7385" s="5">
        <v>41489</v>
      </c>
      <c r="D7385" s="5">
        <v>41549</v>
      </c>
      <c r="E7385" s="4" t="s">
        <v>5185</v>
      </c>
      <c r="F7385" s="4" t="s">
        <v>5185</v>
      </c>
    </row>
    <row r="7386" spans="1:6" x14ac:dyDescent="0.25">
      <c r="A7386" s="4" t="str">
        <f>CONCATENATE("3071-0000-1506","")</f>
        <v>3071-0000-1506</v>
      </c>
      <c r="B7386" s="4" t="s">
        <v>2806</v>
      </c>
      <c r="C7386" s="5">
        <v>41489</v>
      </c>
      <c r="D7386" s="5">
        <v>41549</v>
      </c>
      <c r="E7386" s="4" t="s">
        <v>1381</v>
      </c>
      <c r="F7386" s="4" t="s">
        <v>2303</v>
      </c>
    </row>
    <row r="7387" spans="1:6" x14ac:dyDescent="0.25">
      <c r="A7387" s="4" t="str">
        <f>CONCATENATE("3071-0000-5570","")</f>
        <v>3071-0000-5570</v>
      </c>
      <c r="B7387" s="4" t="s">
        <v>6989</v>
      </c>
      <c r="C7387" s="5">
        <v>41489</v>
      </c>
      <c r="D7387" s="5">
        <v>41549</v>
      </c>
      <c r="E7387" s="4" t="s">
        <v>5185</v>
      </c>
      <c r="F7387" s="4" t="s">
        <v>5185</v>
      </c>
    </row>
    <row r="7388" spans="1:6" x14ac:dyDescent="0.25">
      <c r="A7388" s="4" t="str">
        <f>CONCATENATE("3071-0000-7134","")</f>
        <v>3071-0000-7134</v>
      </c>
      <c r="B7388" s="4" t="s">
        <v>4971</v>
      </c>
      <c r="C7388" s="5">
        <v>41489</v>
      </c>
      <c r="D7388" s="5">
        <v>41549</v>
      </c>
      <c r="E7388" s="4" t="s">
        <v>1410</v>
      </c>
      <c r="F7388" s="4" t="s">
        <v>1410</v>
      </c>
    </row>
    <row r="7389" spans="1:6" x14ac:dyDescent="0.25">
      <c r="A7389" s="4" t="str">
        <f>CONCATENATE("3071-0000-6311","")</f>
        <v>3071-0000-6311</v>
      </c>
      <c r="B7389" s="4" t="s">
        <v>7128</v>
      </c>
      <c r="C7389" s="5">
        <v>41489</v>
      </c>
      <c r="D7389" s="5">
        <v>41549</v>
      </c>
      <c r="E7389" s="4" t="s">
        <v>7069</v>
      </c>
      <c r="F7389" s="4" t="s">
        <v>7120</v>
      </c>
    </row>
    <row r="7390" spans="1:6" x14ac:dyDescent="0.25">
      <c r="A7390" s="4" t="str">
        <f>CONCATENATE("3071-0000-7906","")</f>
        <v>3071-0000-7906</v>
      </c>
      <c r="B7390" s="4" t="s">
        <v>5471</v>
      </c>
      <c r="C7390" s="5">
        <v>41489</v>
      </c>
      <c r="D7390" s="5">
        <v>41549</v>
      </c>
      <c r="E7390" s="4" t="s">
        <v>5185</v>
      </c>
      <c r="F7390" s="4" t="s">
        <v>5185</v>
      </c>
    </row>
    <row r="7391" spans="1:6" x14ac:dyDescent="0.25">
      <c r="A7391" s="4" t="str">
        <f>CONCATENATE("3071-0000-5380","")</f>
        <v>3071-0000-5380</v>
      </c>
      <c r="B7391" s="4" t="s">
        <v>6822</v>
      </c>
      <c r="C7391" s="5">
        <v>41489</v>
      </c>
      <c r="D7391" s="5">
        <v>41549</v>
      </c>
      <c r="E7391" s="4" t="s">
        <v>5185</v>
      </c>
      <c r="F7391" s="4" t="s">
        <v>5185</v>
      </c>
    </row>
    <row r="7392" spans="1:6" x14ac:dyDescent="0.25">
      <c r="A7392" s="4" t="str">
        <f>CONCATENATE("3071-0000-6324","")</f>
        <v>3071-0000-6324</v>
      </c>
      <c r="B7392" s="4" t="s">
        <v>7248</v>
      </c>
      <c r="C7392" s="5">
        <v>41489</v>
      </c>
      <c r="D7392" s="5">
        <v>41549</v>
      </c>
      <c r="E7392" s="4" t="s">
        <v>7069</v>
      </c>
      <c r="F7392" s="4" t="s">
        <v>7245</v>
      </c>
    </row>
    <row r="7393" spans="1:6" x14ac:dyDescent="0.25">
      <c r="A7393" s="4" t="str">
        <f>CONCATENATE("3071-0000-5130","")</f>
        <v>3071-0000-5130</v>
      </c>
      <c r="B7393" s="4" t="s">
        <v>8948</v>
      </c>
      <c r="C7393" s="5">
        <v>41489</v>
      </c>
      <c r="D7393" s="5">
        <v>41549</v>
      </c>
      <c r="E7393" s="4" t="s">
        <v>1410</v>
      </c>
      <c r="F7393" s="4" t="s">
        <v>8903</v>
      </c>
    </row>
    <row r="7394" spans="1:6" x14ac:dyDescent="0.25">
      <c r="A7394" s="4" t="str">
        <f>CONCATENATE("3071-0000-2504","")</f>
        <v>3071-0000-2504</v>
      </c>
      <c r="B7394" s="4" t="s">
        <v>3617</v>
      </c>
      <c r="C7394" s="5">
        <v>41489</v>
      </c>
      <c r="D7394" s="5">
        <v>41549</v>
      </c>
      <c r="E7394" s="4" t="s">
        <v>2944</v>
      </c>
      <c r="F7394" s="4" t="s">
        <v>3567</v>
      </c>
    </row>
    <row r="7395" spans="1:6" x14ac:dyDescent="0.25">
      <c r="A7395" s="4" t="str">
        <f>CONCATENATE("3071-0000-1678","")</f>
        <v>3071-0000-1678</v>
      </c>
      <c r="B7395" s="4" t="s">
        <v>2603</v>
      </c>
      <c r="C7395" s="5">
        <v>41489</v>
      </c>
      <c r="D7395" s="5">
        <v>41549</v>
      </c>
      <c r="E7395" s="4" t="s">
        <v>1381</v>
      </c>
      <c r="F7395" s="4" t="s">
        <v>2303</v>
      </c>
    </row>
    <row r="7396" spans="1:6" x14ac:dyDescent="0.25">
      <c r="A7396" s="4" t="str">
        <f>CONCATENATE("3071-0000-4964","")</f>
        <v>3071-0000-4964</v>
      </c>
      <c r="B7396" s="4" t="s">
        <v>9165</v>
      </c>
      <c r="C7396" s="5">
        <v>41489</v>
      </c>
      <c r="D7396" s="5">
        <v>41549</v>
      </c>
      <c r="E7396" s="4" t="s">
        <v>7069</v>
      </c>
      <c r="F7396" s="4" t="s">
        <v>7070</v>
      </c>
    </row>
    <row r="7397" spans="1:6" x14ac:dyDescent="0.25">
      <c r="A7397" s="4" t="str">
        <f>CONCATENATE("3071-0000-8325","")</f>
        <v>3071-0000-8325</v>
      </c>
      <c r="B7397" s="4" t="s">
        <v>6309</v>
      </c>
      <c r="C7397" s="5">
        <v>41489</v>
      </c>
      <c r="D7397" s="5">
        <v>41549</v>
      </c>
      <c r="E7397" s="4" t="s">
        <v>5185</v>
      </c>
      <c r="F7397" s="4" t="s">
        <v>5185</v>
      </c>
    </row>
    <row r="7398" spans="1:6" x14ac:dyDescent="0.25">
      <c r="A7398" s="4" t="str">
        <f>CONCATENATE("3071-0000-5508","")</f>
        <v>3071-0000-5508</v>
      </c>
      <c r="B7398" s="4" t="s">
        <v>6825</v>
      </c>
      <c r="C7398" s="5">
        <v>41489</v>
      </c>
      <c r="D7398" s="5">
        <v>41549</v>
      </c>
      <c r="E7398" s="4" t="s">
        <v>1410</v>
      </c>
      <c r="F7398" s="4" t="s">
        <v>6635</v>
      </c>
    </row>
    <row r="7399" spans="1:6" x14ac:dyDescent="0.25">
      <c r="A7399" s="4" t="str">
        <f>CONCATENATE("3071-0000-8830","")</f>
        <v>3071-0000-8830</v>
      </c>
      <c r="B7399" s="4" t="s">
        <v>5473</v>
      </c>
      <c r="C7399" s="5">
        <v>41489</v>
      </c>
      <c r="D7399" s="5">
        <v>41549</v>
      </c>
      <c r="E7399" s="4" t="s">
        <v>5185</v>
      </c>
      <c r="F7399" s="4" t="s">
        <v>5250</v>
      </c>
    </row>
    <row r="7400" spans="1:6" x14ac:dyDescent="0.25">
      <c r="A7400" s="4" t="str">
        <f>CONCATENATE("3071-0000-7826","")</f>
        <v>3071-0000-7826</v>
      </c>
      <c r="B7400" s="4" t="s">
        <v>5538</v>
      </c>
      <c r="C7400" s="5">
        <v>41489</v>
      </c>
      <c r="D7400" s="5">
        <v>41549</v>
      </c>
      <c r="E7400" s="4" t="s">
        <v>5185</v>
      </c>
      <c r="F7400" s="4" t="s">
        <v>5185</v>
      </c>
    </row>
    <row r="7401" spans="1:6" x14ac:dyDescent="0.25">
      <c r="A7401" s="4" t="str">
        <f>CONCATENATE("3071-0000-0788","")</f>
        <v>3071-0000-0788</v>
      </c>
      <c r="B7401" s="4" t="s">
        <v>574</v>
      </c>
      <c r="C7401" s="5">
        <v>41489</v>
      </c>
      <c r="D7401" s="5">
        <v>41549</v>
      </c>
      <c r="E7401" s="4" t="s">
        <v>7</v>
      </c>
      <c r="F7401" s="4" t="s">
        <v>273</v>
      </c>
    </row>
    <row r="7402" spans="1:6" x14ac:dyDescent="0.25">
      <c r="A7402" s="4" t="str">
        <f>CONCATENATE("3071-0000-3496","")</f>
        <v>3071-0000-3496</v>
      </c>
      <c r="B7402" s="4" t="s">
        <v>1795</v>
      </c>
      <c r="C7402" s="5">
        <v>41489</v>
      </c>
      <c r="D7402" s="5">
        <v>41549</v>
      </c>
      <c r="E7402" s="4" t="s">
        <v>1410</v>
      </c>
      <c r="F7402" s="4" t="s">
        <v>1411</v>
      </c>
    </row>
    <row r="7403" spans="1:6" x14ac:dyDescent="0.25">
      <c r="A7403" s="4" t="str">
        <f>CONCATENATE("3071-0000-2984","")</f>
        <v>3071-0000-2984</v>
      </c>
      <c r="B7403" s="4" t="s">
        <v>1263</v>
      </c>
      <c r="C7403" s="5">
        <v>41489</v>
      </c>
      <c r="D7403" s="5">
        <v>41549</v>
      </c>
      <c r="E7403" s="4" t="s">
        <v>7</v>
      </c>
      <c r="F7403" s="4" t="s">
        <v>808</v>
      </c>
    </row>
    <row r="7404" spans="1:6" x14ac:dyDescent="0.25">
      <c r="A7404" s="4" t="str">
        <f>CONCATENATE("3071-0000-2828","")</f>
        <v>3071-0000-2828</v>
      </c>
      <c r="B7404" s="4" t="s">
        <v>1081</v>
      </c>
      <c r="C7404" s="5">
        <v>41489</v>
      </c>
      <c r="D7404" s="5">
        <v>41549</v>
      </c>
      <c r="E7404" s="4" t="s">
        <v>7</v>
      </c>
      <c r="F7404" s="4" t="s">
        <v>808</v>
      </c>
    </row>
    <row r="7405" spans="1:6" x14ac:dyDescent="0.25">
      <c r="A7405" s="4" t="str">
        <f>CONCATENATE("3071-0000-4717","")</f>
        <v>3071-0000-4717</v>
      </c>
      <c r="B7405" s="4" t="s">
        <v>9676</v>
      </c>
      <c r="C7405" s="5">
        <v>41489</v>
      </c>
      <c r="D7405" s="5">
        <v>41549</v>
      </c>
      <c r="E7405" s="4" t="s">
        <v>1410</v>
      </c>
      <c r="F7405" s="4" t="s">
        <v>8696</v>
      </c>
    </row>
    <row r="7406" spans="1:6" x14ac:dyDescent="0.25">
      <c r="A7406" s="4" t="str">
        <f>CONCATENATE("3071-0000-7332","")</f>
        <v>3071-0000-7332</v>
      </c>
      <c r="B7406" s="4" t="s">
        <v>5085</v>
      </c>
      <c r="C7406" s="5">
        <v>41489</v>
      </c>
      <c r="D7406" s="5">
        <v>41549</v>
      </c>
      <c r="E7406" s="4" t="s">
        <v>1410</v>
      </c>
      <c r="F7406" s="4" t="s">
        <v>1410</v>
      </c>
    </row>
    <row r="7407" spans="1:6" x14ac:dyDescent="0.25">
      <c r="A7407" s="4" t="str">
        <f>CONCATENATE("3071-0000-0039","")</f>
        <v>3071-0000-0039</v>
      </c>
      <c r="B7407" s="4" t="s">
        <v>69</v>
      </c>
      <c r="C7407" s="5">
        <v>41489</v>
      </c>
      <c r="D7407" s="5">
        <v>41549</v>
      </c>
      <c r="E7407" s="4" t="s">
        <v>7</v>
      </c>
      <c r="F7407" s="4" t="s">
        <v>7</v>
      </c>
    </row>
    <row r="7408" spans="1:6" x14ac:dyDescent="0.25">
      <c r="A7408" s="4" t="str">
        <f>CONCATENATE("3071-0000-0201","")</f>
        <v>3071-0000-0201</v>
      </c>
      <c r="B7408" s="4" t="s">
        <v>436</v>
      </c>
      <c r="C7408" s="5">
        <v>41489</v>
      </c>
      <c r="D7408" s="5">
        <v>41549</v>
      </c>
      <c r="E7408" s="4" t="s">
        <v>7</v>
      </c>
      <c r="F7408" s="4" t="s">
        <v>7</v>
      </c>
    </row>
    <row r="7409" spans="1:6" x14ac:dyDescent="0.25">
      <c r="A7409" s="4" t="str">
        <f>CONCATENATE("3071-0000-0025","")</f>
        <v>3071-0000-0025</v>
      </c>
      <c r="B7409" s="4" t="s">
        <v>43</v>
      </c>
      <c r="C7409" s="5">
        <v>41489</v>
      </c>
      <c r="D7409" s="5">
        <v>41549</v>
      </c>
      <c r="E7409" s="4" t="s">
        <v>7</v>
      </c>
      <c r="F7409" s="4" t="s">
        <v>7</v>
      </c>
    </row>
    <row r="7410" spans="1:6" x14ac:dyDescent="0.25">
      <c r="A7410" s="4" t="str">
        <f>CONCATENATE("3071-0000-7973","")</f>
        <v>3071-0000-7973</v>
      </c>
      <c r="B7410" s="4" t="s">
        <v>5371</v>
      </c>
      <c r="C7410" s="5">
        <v>41489</v>
      </c>
      <c r="D7410" s="5">
        <v>41549</v>
      </c>
      <c r="E7410" s="4" t="s">
        <v>5185</v>
      </c>
      <c r="F7410" s="4" t="s">
        <v>5185</v>
      </c>
    </row>
    <row r="7411" spans="1:6" x14ac:dyDescent="0.25">
      <c r="A7411" s="4" t="str">
        <f>CONCATENATE("3071-0000-3434","")</f>
        <v>3071-0000-3434</v>
      </c>
      <c r="B7411" s="4" t="s">
        <v>1711</v>
      </c>
      <c r="C7411" s="5">
        <v>41489</v>
      </c>
      <c r="D7411" s="5">
        <v>41549</v>
      </c>
      <c r="E7411" s="4" t="s">
        <v>1410</v>
      </c>
      <c r="F7411" s="4" t="s">
        <v>1411</v>
      </c>
    </row>
    <row r="7412" spans="1:6" x14ac:dyDescent="0.25">
      <c r="A7412" s="4" t="str">
        <f>CONCATENATE("3071-0000-0022","")</f>
        <v>3071-0000-0022</v>
      </c>
      <c r="B7412" s="4" t="s">
        <v>39</v>
      </c>
      <c r="C7412" s="5">
        <v>41489</v>
      </c>
      <c r="D7412" s="5">
        <v>41549</v>
      </c>
      <c r="E7412" s="4" t="s">
        <v>7</v>
      </c>
      <c r="F7412" s="4" t="s">
        <v>7</v>
      </c>
    </row>
    <row r="7413" spans="1:6" x14ac:dyDescent="0.25">
      <c r="A7413" s="4" t="str">
        <f>CONCATENATE("3071-0000-8251","")</f>
        <v>3071-0000-8251</v>
      </c>
      <c r="B7413" s="4" t="s">
        <v>5534</v>
      </c>
      <c r="C7413" s="5">
        <v>41489</v>
      </c>
      <c r="D7413" s="5">
        <v>41549</v>
      </c>
      <c r="E7413" s="4" t="s">
        <v>5185</v>
      </c>
      <c r="F7413" s="4" t="s">
        <v>5185</v>
      </c>
    </row>
    <row r="7414" spans="1:6" x14ac:dyDescent="0.25">
      <c r="A7414" s="4" t="str">
        <f>CONCATENATE("3071-0000-8226","")</f>
        <v>3071-0000-8226</v>
      </c>
      <c r="B7414" s="4" t="s">
        <v>5718</v>
      </c>
      <c r="C7414" s="5">
        <v>41489</v>
      </c>
      <c r="D7414" s="5">
        <v>41549</v>
      </c>
      <c r="E7414" s="4" t="s">
        <v>5185</v>
      </c>
      <c r="F7414" s="4" t="s">
        <v>5185</v>
      </c>
    </row>
    <row r="7415" spans="1:6" x14ac:dyDescent="0.25">
      <c r="A7415" s="4" t="str">
        <f>CONCATENATE("3071-0000-4537","")</f>
        <v>3071-0000-4537</v>
      </c>
      <c r="B7415" s="4" t="s">
        <v>9061</v>
      </c>
      <c r="C7415" s="5">
        <v>41489</v>
      </c>
      <c r="D7415" s="5">
        <v>41549</v>
      </c>
      <c r="E7415" s="4" t="s">
        <v>1410</v>
      </c>
      <c r="F7415" s="4" t="s">
        <v>8696</v>
      </c>
    </row>
    <row r="7416" spans="1:6" x14ac:dyDescent="0.25">
      <c r="A7416" s="4" t="str">
        <f>CONCATENATE("3071-0000-7994","")</f>
        <v>3071-0000-7994</v>
      </c>
      <c r="B7416" s="4" t="s">
        <v>5381</v>
      </c>
      <c r="C7416" s="5">
        <v>41489</v>
      </c>
      <c r="D7416" s="5">
        <v>41549</v>
      </c>
      <c r="E7416" s="4" t="s">
        <v>5185</v>
      </c>
      <c r="F7416" s="4" t="s">
        <v>5185</v>
      </c>
    </row>
    <row r="7417" spans="1:6" x14ac:dyDescent="0.25">
      <c r="A7417" s="4" t="str">
        <f>CONCATENATE("3071-0000-0444","")</f>
        <v>3071-0000-0444</v>
      </c>
      <c r="B7417" s="4" t="s">
        <v>403</v>
      </c>
      <c r="C7417" s="5">
        <v>41489</v>
      </c>
      <c r="D7417" s="5">
        <v>41549</v>
      </c>
      <c r="E7417" s="4" t="s">
        <v>7</v>
      </c>
      <c r="F7417" s="4" t="s">
        <v>7</v>
      </c>
    </row>
    <row r="7418" spans="1:6" x14ac:dyDescent="0.25">
      <c r="A7418" s="4" t="str">
        <f>CONCATENATE("3071-0000-0447","")</f>
        <v>3071-0000-0447</v>
      </c>
      <c r="B7418" s="4" t="s">
        <v>408</v>
      </c>
      <c r="C7418" s="5">
        <v>41489</v>
      </c>
      <c r="D7418" s="5">
        <v>41549</v>
      </c>
      <c r="E7418" s="4" t="s">
        <v>7</v>
      </c>
      <c r="F7418" s="4" t="s">
        <v>7</v>
      </c>
    </row>
    <row r="7419" spans="1:6" x14ac:dyDescent="0.25">
      <c r="A7419" s="4" t="str">
        <f>CONCATENATE("3071-0000-0446","")</f>
        <v>3071-0000-0446</v>
      </c>
      <c r="B7419" s="4" t="s">
        <v>407</v>
      </c>
      <c r="C7419" s="5">
        <v>41489</v>
      </c>
      <c r="D7419" s="5">
        <v>41549</v>
      </c>
      <c r="E7419" s="4" t="s">
        <v>7</v>
      </c>
      <c r="F7419" s="4" t="s">
        <v>7</v>
      </c>
    </row>
    <row r="7420" spans="1:6" x14ac:dyDescent="0.25">
      <c r="A7420" s="4" t="str">
        <f>CONCATENATE("3071-0000-3024","")</f>
        <v>3071-0000-3024</v>
      </c>
      <c r="B7420" s="4" t="s">
        <v>1240</v>
      </c>
      <c r="C7420" s="5">
        <v>41489</v>
      </c>
      <c r="D7420" s="5">
        <v>41549</v>
      </c>
      <c r="E7420" s="4" t="s">
        <v>7</v>
      </c>
      <c r="F7420" s="4" t="s">
        <v>808</v>
      </c>
    </row>
    <row r="7421" spans="1:6" x14ac:dyDescent="0.25">
      <c r="A7421" s="4" t="str">
        <f>CONCATENATE("3071-0000-7432","")</f>
        <v>3071-0000-7432</v>
      </c>
      <c r="B7421" s="4" t="s">
        <v>4462</v>
      </c>
      <c r="C7421" s="5">
        <v>41489</v>
      </c>
      <c r="D7421" s="5">
        <v>41549</v>
      </c>
      <c r="E7421" s="4" t="s">
        <v>1410</v>
      </c>
      <c r="F7421" s="4" t="s">
        <v>1410</v>
      </c>
    </row>
    <row r="7422" spans="1:6" x14ac:dyDescent="0.25">
      <c r="A7422" s="4" t="str">
        <f>CONCATENATE("3071-0000-7951","")</f>
        <v>3071-0000-7951</v>
      </c>
      <c r="B7422" s="4" t="s">
        <v>5589</v>
      </c>
      <c r="C7422" s="5">
        <v>41489</v>
      </c>
      <c r="D7422" s="5">
        <v>41549</v>
      </c>
      <c r="E7422" s="4" t="s">
        <v>5185</v>
      </c>
      <c r="F7422" s="4" t="s">
        <v>5185</v>
      </c>
    </row>
    <row r="7423" spans="1:6" x14ac:dyDescent="0.25">
      <c r="A7423" s="4" t="str">
        <f>CONCATENATE("3071-0000-0579","")</f>
        <v>3071-0000-0579</v>
      </c>
      <c r="B7423" s="4" t="s">
        <v>690</v>
      </c>
      <c r="C7423" s="5">
        <v>41489</v>
      </c>
      <c r="D7423" s="5">
        <v>41549</v>
      </c>
      <c r="E7423" s="4" t="s">
        <v>7</v>
      </c>
      <c r="F7423" s="4" t="s">
        <v>273</v>
      </c>
    </row>
    <row r="7424" spans="1:6" x14ac:dyDescent="0.25">
      <c r="A7424" s="4" t="str">
        <f>CONCATENATE("3071-0000-2886","")</f>
        <v>3071-0000-2886</v>
      </c>
      <c r="B7424" s="4" t="s">
        <v>1197</v>
      </c>
      <c r="C7424" s="5">
        <v>41489</v>
      </c>
      <c r="D7424" s="5">
        <v>41549</v>
      </c>
      <c r="E7424" s="4" t="s">
        <v>7</v>
      </c>
      <c r="F7424" s="4" t="s">
        <v>808</v>
      </c>
    </row>
    <row r="7425" spans="1:6" x14ac:dyDescent="0.25">
      <c r="A7425" s="4" t="str">
        <f>CONCATENATE("3071-0000-7949","")</f>
        <v>3071-0000-7949</v>
      </c>
      <c r="B7425" s="4" t="s">
        <v>5587</v>
      </c>
      <c r="C7425" s="5">
        <v>41489</v>
      </c>
      <c r="D7425" s="5">
        <v>41549</v>
      </c>
      <c r="E7425" s="4" t="s">
        <v>5185</v>
      </c>
      <c r="F7425" s="4" t="s">
        <v>5185</v>
      </c>
    </row>
    <row r="7426" spans="1:6" x14ac:dyDescent="0.25">
      <c r="A7426" s="4" t="str">
        <f>CONCATENATE("3071-0000-9076","")</f>
        <v>3071-0000-9076</v>
      </c>
      <c r="B7426" s="4" t="s">
        <v>5252</v>
      </c>
      <c r="C7426" s="5">
        <v>41489</v>
      </c>
      <c r="D7426" s="5">
        <v>41549</v>
      </c>
      <c r="E7426" s="4" t="s">
        <v>5185</v>
      </c>
      <c r="F7426" s="4" t="s">
        <v>5250</v>
      </c>
    </row>
    <row r="7427" spans="1:6" x14ac:dyDescent="0.25">
      <c r="A7427" s="4" t="str">
        <f>CONCATENATE("3071-0000-3658","")</f>
        <v>3071-0000-3658</v>
      </c>
      <c r="B7427" s="4" t="s">
        <v>1655</v>
      </c>
      <c r="C7427" s="5">
        <v>41489</v>
      </c>
      <c r="D7427" s="5">
        <v>41549</v>
      </c>
      <c r="E7427" s="4" t="s">
        <v>7</v>
      </c>
      <c r="F7427" s="4" t="s">
        <v>7</v>
      </c>
    </row>
    <row r="7428" spans="1:6" x14ac:dyDescent="0.25">
      <c r="A7428" s="4" t="str">
        <f>CONCATENATE("3071-0000-2888","")</f>
        <v>3071-0000-2888</v>
      </c>
      <c r="B7428" s="4" t="s">
        <v>1204</v>
      </c>
      <c r="C7428" s="5">
        <v>41489</v>
      </c>
      <c r="D7428" s="5">
        <v>41549</v>
      </c>
      <c r="E7428" s="4" t="s">
        <v>7</v>
      </c>
      <c r="F7428" s="4" t="s">
        <v>808</v>
      </c>
    </row>
    <row r="7429" spans="1:6" x14ac:dyDescent="0.25">
      <c r="A7429" s="4" t="str">
        <f>CONCATENATE("3071-0000-7979","")</f>
        <v>3071-0000-7979</v>
      </c>
      <c r="B7429" s="4" t="s">
        <v>5357</v>
      </c>
      <c r="C7429" s="5">
        <v>41489</v>
      </c>
      <c r="D7429" s="5">
        <v>41549</v>
      </c>
      <c r="E7429" s="4" t="s">
        <v>5185</v>
      </c>
      <c r="F7429" s="4" t="s">
        <v>5185</v>
      </c>
    </row>
    <row r="7430" spans="1:6" x14ac:dyDescent="0.25">
      <c r="A7430" s="4" t="str">
        <f>CONCATENATE("3071-0000-8986","")</f>
        <v>3071-0000-8986</v>
      </c>
      <c r="B7430" s="4" t="s">
        <v>5314</v>
      </c>
      <c r="C7430" s="5">
        <v>41489</v>
      </c>
      <c r="D7430" s="5">
        <v>41549</v>
      </c>
      <c r="E7430" s="4" t="s">
        <v>1410</v>
      </c>
      <c r="F7430" s="4" t="s">
        <v>4616</v>
      </c>
    </row>
    <row r="7431" spans="1:6" x14ac:dyDescent="0.25">
      <c r="A7431" s="4" t="str">
        <f>CONCATENATE("3071-0000-5250","")</f>
        <v>3071-0000-5250</v>
      </c>
      <c r="B7431" s="4" t="s">
        <v>6707</v>
      </c>
      <c r="C7431" s="5">
        <v>41489</v>
      </c>
      <c r="D7431" s="5">
        <v>41549</v>
      </c>
      <c r="E7431" s="4" t="s">
        <v>5185</v>
      </c>
      <c r="F7431" s="4" t="s">
        <v>5185</v>
      </c>
    </row>
    <row r="7432" spans="1:6" x14ac:dyDescent="0.25">
      <c r="A7432" s="4" t="str">
        <f>CONCATENATE("3071-0000-0055","")</f>
        <v>3071-0000-0055</v>
      </c>
      <c r="B7432" s="4" t="s">
        <v>108</v>
      </c>
      <c r="C7432" s="5">
        <v>41489</v>
      </c>
      <c r="D7432" s="5">
        <v>41549</v>
      </c>
      <c r="E7432" s="4" t="s">
        <v>7</v>
      </c>
      <c r="F7432" s="4" t="s">
        <v>7</v>
      </c>
    </row>
    <row r="7433" spans="1:6" x14ac:dyDescent="0.25">
      <c r="A7433" s="4" t="str">
        <f>CONCATENATE("3071-0000-9125","")</f>
        <v>3071-0000-9125</v>
      </c>
      <c r="B7433" s="4" t="s">
        <v>5810</v>
      </c>
      <c r="C7433" s="5">
        <v>41489</v>
      </c>
      <c r="D7433" s="5">
        <v>41549</v>
      </c>
      <c r="E7433" s="4" t="s">
        <v>5185</v>
      </c>
      <c r="F7433" s="4" t="s">
        <v>5763</v>
      </c>
    </row>
    <row r="7434" spans="1:6" x14ac:dyDescent="0.25">
      <c r="A7434" s="4" t="str">
        <f>CONCATENATE("3071-0000-5959","")</f>
        <v>3071-0000-5959</v>
      </c>
      <c r="B7434" s="4" t="s">
        <v>7597</v>
      </c>
      <c r="C7434" s="5">
        <v>41489</v>
      </c>
      <c r="D7434" s="5">
        <v>41549</v>
      </c>
      <c r="E7434" s="4" t="s">
        <v>5185</v>
      </c>
      <c r="F7434" s="4" t="s">
        <v>5185</v>
      </c>
    </row>
    <row r="7435" spans="1:6" x14ac:dyDescent="0.25">
      <c r="A7435" s="4" t="str">
        <f>CONCATENATE("3071-0000-9440","")</f>
        <v>3071-0000-9440</v>
      </c>
      <c r="B7435" s="4" t="s">
        <v>8434</v>
      </c>
      <c r="C7435" s="5">
        <v>41489</v>
      </c>
      <c r="D7435" s="5">
        <v>41549</v>
      </c>
      <c r="E7435" s="4" t="s">
        <v>1410</v>
      </c>
      <c r="F7435" s="4" t="s">
        <v>7967</v>
      </c>
    </row>
    <row r="7436" spans="1:6" x14ac:dyDescent="0.25">
      <c r="A7436" s="4" t="str">
        <f>CONCATENATE("3071-0000-1605","")</f>
        <v>3071-0000-1605</v>
      </c>
      <c r="B7436" s="4" t="s">
        <v>2746</v>
      </c>
      <c r="C7436" s="5">
        <v>41489</v>
      </c>
      <c r="D7436" s="5">
        <v>41549</v>
      </c>
      <c r="E7436" s="4" t="s">
        <v>1381</v>
      </c>
      <c r="F7436" s="4" t="s">
        <v>2303</v>
      </c>
    </row>
    <row r="7437" spans="1:6" x14ac:dyDescent="0.25">
      <c r="A7437" s="4" t="str">
        <f>CONCATENATE("3071-0000-2907","")</f>
        <v>3071-0000-2907</v>
      </c>
      <c r="B7437" s="4" t="s">
        <v>1202</v>
      </c>
      <c r="C7437" s="5">
        <v>41489</v>
      </c>
      <c r="D7437" s="5">
        <v>41549</v>
      </c>
      <c r="E7437" s="4" t="s">
        <v>7</v>
      </c>
      <c r="F7437" s="4" t="s">
        <v>808</v>
      </c>
    </row>
    <row r="7438" spans="1:6" x14ac:dyDescent="0.25">
      <c r="A7438" s="4" t="str">
        <f>CONCATENATE("3071-0000-3087","")</f>
        <v>3071-0000-3087</v>
      </c>
      <c r="B7438" s="4" t="s">
        <v>1253</v>
      </c>
      <c r="C7438" s="5">
        <v>41489</v>
      </c>
      <c r="D7438" s="5">
        <v>41549</v>
      </c>
      <c r="E7438" s="4" t="s">
        <v>7</v>
      </c>
      <c r="F7438" s="4" t="s">
        <v>808</v>
      </c>
    </row>
    <row r="7439" spans="1:6" x14ac:dyDescent="0.25">
      <c r="A7439" s="4" t="str">
        <f>CONCATENATE("3071-0000-3146","")</f>
        <v>3071-0000-3146</v>
      </c>
      <c r="B7439" s="4" t="s">
        <v>1262</v>
      </c>
      <c r="C7439" s="5">
        <v>41489</v>
      </c>
      <c r="D7439" s="5">
        <v>41549</v>
      </c>
      <c r="E7439" s="4" t="s">
        <v>7</v>
      </c>
      <c r="F7439" s="4" t="s">
        <v>808</v>
      </c>
    </row>
    <row r="7440" spans="1:6" x14ac:dyDescent="0.25">
      <c r="A7440" s="4" t="str">
        <f>CONCATENATE("3071-0000-3140","")</f>
        <v>3071-0000-3140</v>
      </c>
      <c r="B7440" s="4" t="s">
        <v>1277</v>
      </c>
      <c r="C7440" s="5">
        <v>41489</v>
      </c>
      <c r="D7440" s="5">
        <v>41549</v>
      </c>
      <c r="E7440" s="4" t="s">
        <v>7</v>
      </c>
      <c r="F7440" s="4" t="s">
        <v>808</v>
      </c>
    </row>
    <row r="7441" spans="1:6" x14ac:dyDescent="0.25">
      <c r="A7441" s="4" t="str">
        <f>CONCATENATE("3071-0000-7936","")</f>
        <v>3071-0000-7936</v>
      </c>
      <c r="B7441" s="4" t="s">
        <v>5566</v>
      </c>
      <c r="C7441" s="5">
        <v>41489</v>
      </c>
      <c r="D7441" s="5">
        <v>41549</v>
      </c>
      <c r="E7441" s="4" t="s">
        <v>5185</v>
      </c>
      <c r="F7441" s="4" t="s">
        <v>5185</v>
      </c>
    </row>
    <row r="7442" spans="1:6" x14ac:dyDescent="0.25">
      <c r="A7442" s="4" t="str">
        <f>CONCATENATE("3071-0000-7952","")</f>
        <v>3071-0000-7952</v>
      </c>
      <c r="B7442" s="4" t="s">
        <v>5590</v>
      </c>
      <c r="C7442" s="5">
        <v>41489</v>
      </c>
      <c r="D7442" s="5">
        <v>41549</v>
      </c>
      <c r="E7442" s="4" t="s">
        <v>5185</v>
      </c>
      <c r="F7442" s="4" t="s">
        <v>5185</v>
      </c>
    </row>
    <row r="7443" spans="1:6" x14ac:dyDescent="0.25">
      <c r="A7443" s="4" t="str">
        <f>CONCATENATE("3071-0000-3480","")</f>
        <v>3071-0000-3480</v>
      </c>
      <c r="B7443" s="4" t="s">
        <v>1773</v>
      </c>
      <c r="C7443" s="5">
        <v>41489</v>
      </c>
      <c r="D7443" s="5">
        <v>41549</v>
      </c>
      <c r="E7443" s="4" t="s">
        <v>1410</v>
      </c>
      <c r="F7443" s="4" t="s">
        <v>1411</v>
      </c>
    </row>
    <row r="7444" spans="1:6" x14ac:dyDescent="0.25">
      <c r="A7444" s="4" t="str">
        <f>CONCATENATE("3071-0000-5647","")</f>
        <v>3071-0000-5647</v>
      </c>
      <c r="B7444" s="4" t="s">
        <v>7269</v>
      </c>
      <c r="C7444" s="5">
        <v>41489</v>
      </c>
      <c r="D7444" s="5">
        <v>41549</v>
      </c>
      <c r="E7444" s="4" t="s">
        <v>5185</v>
      </c>
      <c r="F7444" s="4" t="s">
        <v>5185</v>
      </c>
    </row>
    <row r="7445" spans="1:6" x14ac:dyDescent="0.25">
      <c r="A7445" s="4" t="str">
        <f>CONCATENATE("3071-0000-8822","")</f>
        <v>3071-0000-8822</v>
      </c>
      <c r="B7445" s="4" t="s">
        <v>5930</v>
      </c>
      <c r="C7445" s="5">
        <v>41489</v>
      </c>
      <c r="D7445" s="5">
        <v>41549</v>
      </c>
      <c r="E7445" s="4" t="s">
        <v>5185</v>
      </c>
      <c r="F7445" s="4" t="s">
        <v>4188</v>
      </c>
    </row>
    <row r="7446" spans="1:6" x14ac:dyDescent="0.25">
      <c r="A7446" s="4" t="str">
        <f>CONCATENATE("3071-0000-9103","")</f>
        <v>3071-0000-9103</v>
      </c>
      <c r="B7446" s="4" t="s">
        <v>5262</v>
      </c>
      <c r="C7446" s="5">
        <v>41489</v>
      </c>
      <c r="D7446" s="5">
        <v>41549</v>
      </c>
      <c r="E7446" s="4" t="s">
        <v>5185</v>
      </c>
      <c r="F7446" s="4" t="s">
        <v>5185</v>
      </c>
    </row>
    <row r="7447" spans="1:6" x14ac:dyDescent="0.25">
      <c r="A7447" s="4" t="str">
        <f>CONCATENATE("3071-0000-7810","")</f>
        <v>3071-0000-7810</v>
      </c>
      <c r="B7447" s="4" t="s">
        <v>5490</v>
      </c>
      <c r="C7447" s="5">
        <v>41489</v>
      </c>
      <c r="D7447" s="5">
        <v>41549</v>
      </c>
      <c r="E7447" s="4" t="s">
        <v>5185</v>
      </c>
      <c r="F7447" s="4" t="s">
        <v>5185</v>
      </c>
    </row>
    <row r="7448" spans="1:6" x14ac:dyDescent="0.25">
      <c r="A7448" s="4" t="str">
        <f>CONCATENATE("3071-0000-0231","")</f>
        <v>3071-0000-0231</v>
      </c>
      <c r="B7448" s="4" t="s">
        <v>484</v>
      </c>
      <c r="C7448" s="5">
        <v>41489</v>
      </c>
      <c r="D7448" s="5">
        <v>41549</v>
      </c>
      <c r="E7448" s="4" t="s">
        <v>7</v>
      </c>
      <c r="F7448" s="4" t="s">
        <v>7</v>
      </c>
    </row>
    <row r="7449" spans="1:6" x14ac:dyDescent="0.25">
      <c r="A7449" s="4" t="str">
        <f>CONCATENATE("3071-0000-5395","")</f>
        <v>3071-0000-5395</v>
      </c>
      <c r="B7449" s="4" t="s">
        <v>6624</v>
      </c>
      <c r="C7449" s="5">
        <v>41489</v>
      </c>
      <c r="D7449" s="5">
        <v>41549</v>
      </c>
      <c r="E7449" s="4" t="s">
        <v>5185</v>
      </c>
      <c r="F7449" s="4" t="s">
        <v>5185</v>
      </c>
    </row>
    <row r="7450" spans="1:6" x14ac:dyDescent="0.25">
      <c r="A7450" s="4" t="str">
        <f>CONCATENATE("3071-0000-4780","")</f>
        <v>3071-0000-4780</v>
      </c>
      <c r="B7450" s="4" t="s">
        <v>9038</v>
      </c>
      <c r="C7450" s="5">
        <v>41489</v>
      </c>
      <c r="D7450" s="5">
        <v>41549</v>
      </c>
      <c r="E7450" s="4" t="s">
        <v>1410</v>
      </c>
      <c r="F7450" s="4" t="s">
        <v>8696</v>
      </c>
    </row>
    <row r="7451" spans="1:6" x14ac:dyDescent="0.25">
      <c r="A7451" s="4" t="str">
        <f>CONCATENATE("3071-0000-4453","")</f>
        <v>3071-0000-4453</v>
      </c>
      <c r="B7451" s="4" t="s">
        <v>9334</v>
      </c>
      <c r="C7451" s="5">
        <v>41489</v>
      </c>
      <c r="D7451" s="5">
        <v>41549</v>
      </c>
      <c r="E7451" s="4" t="s">
        <v>1410</v>
      </c>
      <c r="F7451" s="4" t="s">
        <v>8696</v>
      </c>
    </row>
    <row r="7452" spans="1:6" x14ac:dyDescent="0.25">
      <c r="A7452" s="4" t="str">
        <f>CONCATENATE("3071-0000-0138","")</f>
        <v>3071-0000-0138</v>
      </c>
      <c r="B7452" s="4" t="s">
        <v>313</v>
      </c>
      <c r="C7452" s="5">
        <v>41489</v>
      </c>
      <c r="D7452" s="5">
        <v>41549</v>
      </c>
      <c r="E7452" s="4" t="s">
        <v>7</v>
      </c>
      <c r="F7452" s="4" t="s">
        <v>7</v>
      </c>
    </row>
    <row r="7453" spans="1:6" x14ac:dyDescent="0.25">
      <c r="A7453" s="4" t="str">
        <f>CONCATENATE("3071-0000-7333","")</f>
        <v>3071-0000-7333</v>
      </c>
      <c r="B7453" s="4" t="s">
        <v>5083</v>
      </c>
      <c r="C7453" s="5">
        <v>41489</v>
      </c>
      <c r="D7453" s="5">
        <v>41549</v>
      </c>
      <c r="E7453" s="4" t="s">
        <v>1410</v>
      </c>
      <c r="F7453" s="4" t="s">
        <v>1410</v>
      </c>
    </row>
    <row r="7454" spans="1:6" x14ac:dyDescent="0.25">
      <c r="A7454" s="4" t="str">
        <f>CONCATENATE("3071-0000-0776","")</f>
        <v>3071-0000-0776</v>
      </c>
      <c r="B7454" s="4" t="s">
        <v>577</v>
      </c>
      <c r="C7454" s="5">
        <v>41489</v>
      </c>
      <c r="D7454" s="5">
        <v>41549</v>
      </c>
      <c r="E7454" s="4" t="s">
        <v>7</v>
      </c>
      <c r="F7454" s="4" t="s">
        <v>273</v>
      </c>
    </row>
    <row r="7455" spans="1:6" x14ac:dyDescent="0.25">
      <c r="A7455" s="4" t="str">
        <f>CONCATENATE("3071-0000-4116","")</f>
        <v>3071-0000-4116</v>
      </c>
      <c r="B7455" s="4" t="s">
        <v>4181</v>
      </c>
      <c r="C7455" s="5">
        <v>41489</v>
      </c>
      <c r="D7455" s="5">
        <v>41549</v>
      </c>
      <c r="E7455" s="4" t="s">
        <v>7</v>
      </c>
      <c r="F7455" s="4" t="s">
        <v>1419</v>
      </c>
    </row>
    <row r="7456" spans="1:6" x14ac:dyDescent="0.25">
      <c r="A7456" s="4" t="str">
        <f>CONCATENATE("3071-0000-8073","")</f>
        <v>3071-0000-8073</v>
      </c>
      <c r="B7456" s="4" t="s">
        <v>5909</v>
      </c>
      <c r="C7456" s="5">
        <v>41489</v>
      </c>
      <c r="D7456" s="5">
        <v>41549</v>
      </c>
      <c r="E7456" s="4" t="s">
        <v>5185</v>
      </c>
      <c r="F7456" s="4" t="s">
        <v>5185</v>
      </c>
    </row>
    <row r="7457" spans="1:6" x14ac:dyDescent="0.25">
      <c r="A7457" s="4" t="str">
        <f>CONCATENATE("3071-0000-4724","")</f>
        <v>3071-0000-4724</v>
      </c>
      <c r="B7457" s="4" t="s">
        <v>9685</v>
      </c>
      <c r="C7457" s="5">
        <v>41489</v>
      </c>
      <c r="D7457" s="5">
        <v>41549</v>
      </c>
      <c r="E7457" s="4" t="s">
        <v>1410</v>
      </c>
      <c r="F7457" s="4" t="s">
        <v>8696</v>
      </c>
    </row>
    <row r="7458" spans="1:6" x14ac:dyDescent="0.25">
      <c r="A7458" s="4" t="str">
        <f>CONCATENATE("3071-0000-7946","")</f>
        <v>3071-0000-7946</v>
      </c>
      <c r="B7458" s="4" t="s">
        <v>5582</v>
      </c>
      <c r="C7458" s="5">
        <v>41489</v>
      </c>
      <c r="D7458" s="5">
        <v>41549</v>
      </c>
      <c r="E7458" s="4" t="s">
        <v>5185</v>
      </c>
      <c r="F7458" s="4" t="s">
        <v>5185</v>
      </c>
    </row>
    <row r="7459" spans="1:6" x14ac:dyDescent="0.25">
      <c r="A7459" s="4" t="str">
        <f>CONCATENATE("3071-0000-3441","")</f>
        <v>3071-0000-3441</v>
      </c>
      <c r="B7459" s="4" t="s">
        <v>1726</v>
      </c>
      <c r="C7459" s="5">
        <v>41489</v>
      </c>
      <c r="D7459" s="5">
        <v>41549</v>
      </c>
      <c r="E7459" s="4" t="s">
        <v>1410</v>
      </c>
      <c r="F7459" s="4" t="s">
        <v>1411</v>
      </c>
    </row>
    <row r="7460" spans="1:6" x14ac:dyDescent="0.25">
      <c r="A7460" s="4" t="str">
        <f>CONCATENATE("3071-0000-9481","")</f>
        <v>3071-0000-9481</v>
      </c>
      <c r="B7460" s="4" t="s">
        <v>8555</v>
      </c>
      <c r="C7460" s="5">
        <v>41489</v>
      </c>
      <c r="D7460" s="5">
        <v>41549</v>
      </c>
      <c r="E7460" s="4" t="s">
        <v>1410</v>
      </c>
      <c r="F7460" s="4" t="s">
        <v>4459</v>
      </c>
    </row>
    <row r="7461" spans="1:6" x14ac:dyDescent="0.25">
      <c r="A7461" s="4" t="str">
        <f>CONCATENATE("3071-0000-8147","")</f>
        <v>3071-0000-8147</v>
      </c>
      <c r="B7461" s="4" t="s">
        <v>5580</v>
      </c>
      <c r="C7461" s="5">
        <v>41489</v>
      </c>
      <c r="D7461" s="5">
        <v>41549</v>
      </c>
      <c r="E7461" s="4" t="s">
        <v>5185</v>
      </c>
      <c r="F7461" s="4" t="s">
        <v>5185</v>
      </c>
    </row>
    <row r="7462" spans="1:6" x14ac:dyDescent="0.25">
      <c r="A7462" s="4" t="str">
        <f>CONCATENATE("3071-0000-8823","")</f>
        <v>3071-0000-8823</v>
      </c>
      <c r="B7462" s="4" t="s">
        <v>5929</v>
      </c>
      <c r="C7462" s="5">
        <v>41489</v>
      </c>
      <c r="D7462" s="5">
        <v>41549</v>
      </c>
      <c r="E7462" s="4" t="s">
        <v>5185</v>
      </c>
      <c r="F7462" s="4" t="s">
        <v>4188</v>
      </c>
    </row>
    <row r="7463" spans="1:6" x14ac:dyDescent="0.25">
      <c r="A7463" s="4" t="str">
        <f>CONCATENATE("3071-0000-3287","")</f>
        <v>3071-0000-3287</v>
      </c>
      <c r="B7463" s="4" t="s">
        <v>1203</v>
      </c>
      <c r="C7463" s="5">
        <v>41489</v>
      </c>
      <c r="D7463" s="5">
        <v>41549</v>
      </c>
      <c r="E7463" s="4" t="s">
        <v>7</v>
      </c>
      <c r="F7463" s="4" t="s">
        <v>808</v>
      </c>
    </row>
    <row r="7464" spans="1:6" x14ac:dyDescent="0.25">
      <c r="A7464" s="4" t="str">
        <f>CONCATENATE("3071-0000-1622","")</f>
        <v>3071-0000-1622</v>
      </c>
      <c r="B7464" s="4" t="s">
        <v>2483</v>
      </c>
      <c r="C7464" s="5">
        <v>41489</v>
      </c>
      <c r="D7464" s="5">
        <v>41549</v>
      </c>
      <c r="E7464" s="4" t="s">
        <v>1381</v>
      </c>
      <c r="F7464" s="4" t="s">
        <v>2303</v>
      </c>
    </row>
    <row r="7465" spans="1:6" x14ac:dyDescent="0.25">
      <c r="A7465" s="4" t="str">
        <f>CONCATENATE("3071-0000-4672","")</f>
        <v>3071-0000-4672</v>
      </c>
      <c r="B7465" s="4" t="s">
        <v>9183</v>
      </c>
      <c r="C7465" s="5">
        <v>41489</v>
      </c>
      <c r="D7465" s="5">
        <v>41549</v>
      </c>
      <c r="E7465" s="4" t="s">
        <v>1410</v>
      </c>
      <c r="F7465" s="4" t="s">
        <v>8696</v>
      </c>
    </row>
    <row r="7466" spans="1:6" x14ac:dyDescent="0.25">
      <c r="A7466" s="4" t="str">
        <f>CONCATENATE("3071-0000-5043","")</f>
        <v>3071-0000-5043</v>
      </c>
      <c r="B7466" s="4" t="s">
        <v>9185</v>
      </c>
      <c r="C7466" s="5">
        <v>41489</v>
      </c>
      <c r="D7466" s="5">
        <v>41549</v>
      </c>
      <c r="E7466" s="4" t="s">
        <v>7069</v>
      </c>
      <c r="F7466" s="4" t="s">
        <v>7070</v>
      </c>
    </row>
    <row r="7467" spans="1:6" x14ac:dyDescent="0.25">
      <c r="A7467" s="4" t="str">
        <f>CONCATENATE("3071-0000-5491","")</f>
        <v>3071-0000-5491</v>
      </c>
      <c r="B7467" s="4" t="s">
        <v>6706</v>
      </c>
      <c r="C7467" s="5">
        <v>41489</v>
      </c>
      <c r="D7467" s="5">
        <v>41549</v>
      </c>
      <c r="E7467" s="4" t="s">
        <v>1410</v>
      </c>
      <c r="F7467" s="4" t="s">
        <v>6635</v>
      </c>
    </row>
    <row r="7468" spans="1:6" x14ac:dyDescent="0.25">
      <c r="A7468" s="4" t="str">
        <f>CONCATENATE("3071-0000-8523","")</f>
        <v>3071-0000-8523</v>
      </c>
      <c r="B7468" s="4" t="s">
        <v>5790</v>
      </c>
      <c r="C7468" s="5">
        <v>41489</v>
      </c>
      <c r="D7468" s="5">
        <v>41549</v>
      </c>
      <c r="E7468" s="4" t="s">
        <v>5185</v>
      </c>
      <c r="F7468" s="4" t="s">
        <v>5763</v>
      </c>
    </row>
    <row r="7469" spans="1:6" x14ac:dyDescent="0.25">
      <c r="A7469" s="4" t="str">
        <f>CONCATENATE("3071-0000-3034","")</f>
        <v>3071-0000-3034</v>
      </c>
      <c r="B7469" s="4" t="s">
        <v>1251</v>
      </c>
      <c r="C7469" s="5">
        <v>41489</v>
      </c>
      <c r="D7469" s="5">
        <v>41549</v>
      </c>
      <c r="E7469" s="4" t="s">
        <v>7</v>
      </c>
      <c r="F7469" s="4" t="s">
        <v>808</v>
      </c>
    </row>
    <row r="7470" spans="1:6" x14ac:dyDescent="0.25">
      <c r="A7470" s="4" t="str">
        <f>CONCATENATE("3071-0000-2011","")</f>
        <v>3071-0000-2011</v>
      </c>
      <c r="B7470" s="4" t="s">
        <v>3302</v>
      </c>
      <c r="C7470" s="5">
        <v>41489</v>
      </c>
      <c r="D7470" s="5">
        <v>41549</v>
      </c>
      <c r="E7470" s="4" t="s">
        <v>2944</v>
      </c>
      <c r="F7470" s="4" t="s">
        <v>2945</v>
      </c>
    </row>
    <row r="7471" spans="1:6" x14ac:dyDescent="0.25">
      <c r="A7471" s="4" t="str">
        <f>CONCATENATE("3071-0000-1913","")</f>
        <v>3071-0000-1913</v>
      </c>
      <c r="B7471" s="4" t="s">
        <v>2974</v>
      </c>
      <c r="C7471" s="5">
        <v>41489</v>
      </c>
      <c r="D7471" s="5">
        <v>41549</v>
      </c>
      <c r="E7471" s="4" t="s">
        <v>2944</v>
      </c>
      <c r="F7471" s="4" t="s">
        <v>2945</v>
      </c>
    </row>
    <row r="7472" spans="1:6" x14ac:dyDescent="0.25">
      <c r="A7472" s="4" t="str">
        <f>CONCATENATE("3071-0000-1901","")</f>
        <v>3071-0000-1901</v>
      </c>
      <c r="B7472" s="4" t="s">
        <v>2980</v>
      </c>
      <c r="C7472" s="5">
        <v>41489</v>
      </c>
      <c r="D7472" s="5">
        <v>41549</v>
      </c>
      <c r="E7472" s="4" t="s">
        <v>2944</v>
      </c>
      <c r="F7472" s="4" t="s">
        <v>2945</v>
      </c>
    </row>
    <row r="7473" spans="1:6" x14ac:dyDescent="0.25">
      <c r="A7473" s="4" t="str">
        <f>CONCATENATE("3071-0000-1897","")</f>
        <v>3071-0000-1897</v>
      </c>
      <c r="B7473" s="4" t="s">
        <v>2978</v>
      </c>
      <c r="C7473" s="5">
        <v>41489</v>
      </c>
      <c r="D7473" s="5">
        <v>41549</v>
      </c>
      <c r="E7473" s="4" t="s">
        <v>2944</v>
      </c>
      <c r="F7473" s="4" t="s">
        <v>2945</v>
      </c>
    </row>
    <row r="7474" spans="1:6" x14ac:dyDescent="0.25">
      <c r="A7474" s="4" t="str">
        <f>CONCATENATE("3071-0000-1914","")</f>
        <v>3071-0000-1914</v>
      </c>
      <c r="B7474" s="4" t="s">
        <v>2964</v>
      </c>
      <c r="C7474" s="5">
        <v>41489</v>
      </c>
      <c r="D7474" s="5">
        <v>41549</v>
      </c>
      <c r="E7474" s="4" t="s">
        <v>2944</v>
      </c>
      <c r="F7474" s="4" t="s">
        <v>2945</v>
      </c>
    </row>
    <row r="7475" spans="1:6" x14ac:dyDescent="0.25">
      <c r="A7475" s="4" t="str">
        <f>CONCATENATE("3071-0000-1894","")</f>
        <v>3071-0000-1894</v>
      </c>
      <c r="B7475" s="4" t="s">
        <v>2968</v>
      </c>
      <c r="C7475" s="5">
        <v>41489</v>
      </c>
      <c r="D7475" s="5">
        <v>41549</v>
      </c>
      <c r="E7475" s="4" t="s">
        <v>2944</v>
      </c>
      <c r="F7475" s="4" t="s">
        <v>2945</v>
      </c>
    </row>
    <row r="7476" spans="1:6" x14ac:dyDescent="0.25">
      <c r="A7476" s="4" t="str">
        <f>CONCATENATE("3071-0000-0311","")</f>
        <v>3071-0000-0311</v>
      </c>
      <c r="B7476" s="4" t="s">
        <v>736</v>
      </c>
      <c r="C7476" s="5">
        <v>41489</v>
      </c>
      <c r="D7476" s="5">
        <v>41549</v>
      </c>
      <c r="E7476" s="4" t="s">
        <v>7</v>
      </c>
      <c r="F7476" s="4" t="s">
        <v>7</v>
      </c>
    </row>
    <row r="7477" spans="1:6" x14ac:dyDescent="0.25">
      <c r="A7477" s="4" t="str">
        <f>CONCATENATE("3071-0000-1676","")</f>
        <v>3071-0000-1676</v>
      </c>
      <c r="B7477" s="4" t="s">
        <v>2595</v>
      </c>
      <c r="C7477" s="5">
        <v>41489</v>
      </c>
      <c r="D7477" s="5">
        <v>41549</v>
      </c>
      <c r="E7477" s="4" t="s">
        <v>1381</v>
      </c>
      <c r="F7477" s="4" t="s">
        <v>2303</v>
      </c>
    </row>
    <row r="7478" spans="1:6" x14ac:dyDescent="0.25">
      <c r="A7478" s="4" t="str">
        <f>CONCATENATE("3071-0000-1730","")</f>
        <v>3071-0000-1730</v>
      </c>
      <c r="B7478" s="4" t="s">
        <v>2612</v>
      </c>
      <c r="C7478" s="5">
        <v>41489</v>
      </c>
      <c r="D7478" s="5">
        <v>41549</v>
      </c>
      <c r="E7478" s="4" t="s">
        <v>1381</v>
      </c>
      <c r="F7478" s="4" t="s">
        <v>2303</v>
      </c>
    </row>
    <row r="7479" spans="1:6" x14ac:dyDescent="0.25">
      <c r="A7479" s="4" t="str">
        <f>CONCATENATE("3071-0000-7982","")</f>
        <v>3071-0000-7982</v>
      </c>
      <c r="B7479" s="4" t="s">
        <v>5976</v>
      </c>
      <c r="C7479" s="5">
        <v>41489</v>
      </c>
      <c r="D7479" s="5">
        <v>41549</v>
      </c>
      <c r="E7479" s="4" t="s">
        <v>5185</v>
      </c>
      <c r="F7479" s="4" t="s">
        <v>5185</v>
      </c>
    </row>
    <row r="7480" spans="1:6" x14ac:dyDescent="0.25">
      <c r="A7480" s="4" t="str">
        <f>CONCATENATE("3071-0000-7722","")</f>
        <v>3071-0000-7722</v>
      </c>
      <c r="B7480" s="4" t="s">
        <v>4303</v>
      </c>
      <c r="C7480" s="5">
        <v>41489</v>
      </c>
      <c r="D7480" s="5">
        <v>41549</v>
      </c>
      <c r="E7480" s="4" t="s">
        <v>1410</v>
      </c>
      <c r="F7480" s="4" t="s">
        <v>1410</v>
      </c>
    </row>
    <row r="7481" spans="1:6" x14ac:dyDescent="0.25">
      <c r="A7481" s="4" t="str">
        <f>CONCATENATE("3071-0000-8459","")</f>
        <v>3071-0000-8459</v>
      </c>
      <c r="B7481" s="4" t="s">
        <v>6068</v>
      </c>
      <c r="C7481" s="5">
        <v>41489</v>
      </c>
      <c r="D7481" s="5">
        <v>41549</v>
      </c>
      <c r="E7481" s="4" t="s">
        <v>5185</v>
      </c>
      <c r="F7481" s="4" t="s">
        <v>5945</v>
      </c>
    </row>
    <row r="7482" spans="1:6" x14ac:dyDescent="0.25">
      <c r="A7482" s="4" t="str">
        <f>CONCATENATE("3071-0000-3739","")</f>
        <v>3071-0000-3739</v>
      </c>
      <c r="B7482" s="4" t="s">
        <v>1669</v>
      </c>
      <c r="C7482" s="5">
        <v>41489</v>
      </c>
      <c r="D7482" s="5">
        <v>41549</v>
      </c>
      <c r="E7482" s="4" t="s">
        <v>1410</v>
      </c>
      <c r="F7482" s="4" t="s">
        <v>1601</v>
      </c>
    </row>
    <row r="7483" spans="1:6" x14ac:dyDescent="0.25">
      <c r="A7483" s="4" t="str">
        <f>CONCATENATE("3071-0000-5228","")</f>
        <v>3071-0000-5228</v>
      </c>
      <c r="B7483" s="4" t="s">
        <v>6673</v>
      </c>
      <c r="C7483" s="5">
        <v>41489</v>
      </c>
      <c r="D7483" s="5">
        <v>41549</v>
      </c>
      <c r="E7483" s="4" t="s">
        <v>5185</v>
      </c>
      <c r="F7483" s="4" t="s">
        <v>5185</v>
      </c>
    </row>
    <row r="7484" spans="1:6" x14ac:dyDescent="0.25">
      <c r="A7484" s="4" t="str">
        <f>CONCATENATE("3071-0000-3674","")</f>
        <v>3071-0000-3674</v>
      </c>
      <c r="B7484" s="4" t="s">
        <v>1685</v>
      </c>
      <c r="C7484" s="5">
        <v>41489</v>
      </c>
      <c r="D7484" s="5">
        <v>41549</v>
      </c>
      <c r="E7484" s="4" t="s">
        <v>1410</v>
      </c>
      <c r="F7484" s="4" t="s">
        <v>1601</v>
      </c>
    </row>
    <row r="7485" spans="1:6" x14ac:dyDescent="0.25">
      <c r="A7485" s="4" t="str">
        <f>CONCATENATE("3071-0000-0508","")</f>
        <v>3071-0000-0508</v>
      </c>
      <c r="B7485" s="4" t="s">
        <v>757</v>
      </c>
      <c r="C7485" s="5">
        <v>41489</v>
      </c>
      <c r="D7485" s="5">
        <v>41549</v>
      </c>
      <c r="E7485" s="4" t="s">
        <v>7</v>
      </c>
      <c r="F7485" s="4" t="s">
        <v>273</v>
      </c>
    </row>
    <row r="7486" spans="1:6" x14ac:dyDescent="0.25">
      <c r="A7486" s="4" t="str">
        <f>CONCATENATE("3071-0000-1103","")</f>
        <v>3071-0000-1103</v>
      </c>
      <c r="B7486" s="4" t="s">
        <v>2296</v>
      </c>
      <c r="C7486" s="5">
        <v>41489</v>
      </c>
      <c r="D7486" s="5">
        <v>41549</v>
      </c>
      <c r="E7486" s="4" t="s">
        <v>1381</v>
      </c>
      <c r="F7486" s="4" t="s">
        <v>2259</v>
      </c>
    </row>
    <row r="7487" spans="1:6" x14ac:dyDescent="0.25">
      <c r="A7487" s="4" t="str">
        <f>CONCATENATE("3071-0000-1037","")</f>
        <v>3071-0000-1037</v>
      </c>
      <c r="B7487" s="4" t="s">
        <v>2265</v>
      </c>
      <c r="C7487" s="5">
        <v>41489</v>
      </c>
      <c r="D7487" s="5">
        <v>41549</v>
      </c>
      <c r="E7487" s="4" t="s">
        <v>1857</v>
      </c>
      <c r="F7487" s="4" t="s">
        <v>1857</v>
      </c>
    </row>
    <row r="7488" spans="1:6" x14ac:dyDescent="0.25">
      <c r="A7488" s="4" t="str">
        <f>CONCATENATE("3071-0000-1185","")</f>
        <v>3071-0000-1185</v>
      </c>
      <c r="B7488" s="4" t="s">
        <v>2266</v>
      </c>
      <c r="C7488" s="5">
        <v>41489</v>
      </c>
      <c r="D7488" s="5">
        <v>41549</v>
      </c>
      <c r="E7488" s="4" t="s">
        <v>1381</v>
      </c>
      <c r="F7488" s="4" t="s">
        <v>2259</v>
      </c>
    </row>
    <row r="7489" spans="1:6" x14ac:dyDescent="0.25">
      <c r="A7489" s="4" t="str">
        <f>CONCATENATE("3071-0000-1228","")</f>
        <v>3071-0000-1228</v>
      </c>
      <c r="B7489" s="4" t="s">
        <v>2282</v>
      </c>
      <c r="C7489" s="5">
        <v>41489</v>
      </c>
      <c r="D7489" s="5">
        <v>41549</v>
      </c>
      <c r="E7489" s="4" t="s">
        <v>1381</v>
      </c>
      <c r="F7489" s="4" t="s">
        <v>2259</v>
      </c>
    </row>
    <row r="7490" spans="1:6" x14ac:dyDescent="0.25">
      <c r="A7490" s="4" t="str">
        <f>CONCATENATE("3071-0000-1038","")</f>
        <v>3071-0000-1038</v>
      </c>
      <c r="B7490" s="4" t="s">
        <v>2276</v>
      </c>
      <c r="C7490" s="5">
        <v>41489</v>
      </c>
      <c r="D7490" s="5">
        <v>41549</v>
      </c>
      <c r="E7490" s="4" t="s">
        <v>1857</v>
      </c>
      <c r="F7490" s="4" t="s">
        <v>1857</v>
      </c>
    </row>
    <row r="7491" spans="1:6" x14ac:dyDescent="0.25">
      <c r="A7491" s="4" t="str">
        <f>CONCATENATE("3071-0000-1298","")</f>
        <v>3071-0000-1298</v>
      </c>
      <c r="B7491" s="4" t="s">
        <v>2410</v>
      </c>
      <c r="C7491" s="5">
        <v>41489</v>
      </c>
      <c r="D7491" s="5">
        <v>41549</v>
      </c>
      <c r="E7491" s="4" t="s">
        <v>1381</v>
      </c>
      <c r="F7491" s="4" t="s">
        <v>2303</v>
      </c>
    </row>
    <row r="7492" spans="1:6" x14ac:dyDescent="0.25">
      <c r="A7492" s="4" t="str">
        <f>CONCATENATE("3071-0000-1226","")</f>
        <v>3071-0000-1226</v>
      </c>
      <c r="B7492" s="4" t="s">
        <v>2285</v>
      </c>
      <c r="C7492" s="5">
        <v>41489</v>
      </c>
      <c r="D7492" s="5">
        <v>41549</v>
      </c>
      <c r="E7492" s="4" t="s">
        <v>1381</v>
      </c>
      <c r="F7492" s="4" t="s">
        <v>2259</v>
      </c>
    </row>
    <row r="7493" spans="1:6" x14ac:dyDescent="0.25">
      <c r="A7493" s="4" t="str">
        <f>CONCATENATE("3071-0000-1230","")</f>
        <v>3071-0000-1230</v>
      </c>
      <c r="B7493" s="4" t="s">
        <v>2279</v>
      </c>
      <c r="C7493" s="5">
        <v>41489</v>
      </c>
      <c r="D7493" s="5">
        <v>41549</v>
      </c>
      <c r="E7493" s="4" t="s">
        <v>1381</v>
      </c>
      <c r="F7493" s="4" t="s">
        <v>2259</v>
      </c>
    </row>
    <row r="7494" spans="1:6" x14ac:dyDescent="0.25">
      <c r="A7494" s="4" t="str">
        <f>CONCATENATE("3071-0000-1962","")</f>
        <v>3071-0000-1962</v>
      </c>
      <c r="B7494" s="4" t="s">
        <v>3073</v>
      </c>
      <c r="C7494" s="5">
        <v>41489</v>
      </c>
      <c r="D7494" s="5">
        <v>41549</v>
      </c>
      <c r="E7494" s="4" t="s">
        <v>2944</v>
      </c>
      <c r="F7494" s="4" t="s">
        <v>2945</v>
      </c>
    </row>
    <row r="7495" spans="1:6" x14ac:dyDescent="0.25">
      <c r="A7495" s="4" t="str">
        <f>CONCATENATE("3071-0000-8644","")</f>
        <v>3071-0000-8644</v>
      </c>
      <c r="B7495" s="4" t="s">
        <v>6437</v>
      </c>
      <c r="C7495" s="5">
        <v>41489</v>
      </c>
      <c r="D7495" s="5">
        <v>41549</v>
      </c>
      <c r="E7495" s="4" t="s">
        <v>5185</v>
      </c>
      <c r="F7495" s="4" t="s">
        <v>5292</v>
      </c>
    </row>
    <row r="7496" spans="1:6" x14ac:dyDescent="0.25">
      <c r="A7496" s="4" t="str">
        <f>CONCATENATE("3071-0000-6486","")</f>
        <v>3071-0000-6486</v>
      </c>
      <c r="B7496" s="4" t="s">
        <v>7765</v>
      </c>
      <c r="C7496" s="5">
        <v>41489</v>
      </c>
      <c r="D7496" s="5">
        <v>41549</v>
      </c>
      <c r="E7496" s="4" t="s">
        <v>5185</v>
      </c>
      <c r="F7496" s="4" t="s">
        <v>5185</v>
      </c>
    </row>
    <row r="7497" spans="1:6" x14ac:dyDescent="0.25">
      <c r="A7497" s="4" t="str">
        <f>CONCATENATE("3071-0000-6487","")</f>
        <v>3071-0000-6487</v>
      </c>
      <c r="B7497" s="4" t="s">
        <v>7771</v>
      </c>
      <c r="C7497" s="5">
        <v>41489</v>
      </c>
      <c r="D7497" s="5">
        <v>41549</v>
      </c>
      <c r="E7497" s="4" t="s">
        <v>5185</v>
      </c>
      <c r="F7497" s="4" t="s">
        <v>5185</v>
      </c>
    </row>
    <row r="7498" spans="1:6" x14ac:dyDescent="0.25">
      <c r="A7498" s="4" t="str">
        <f>CONCATENATE("3071-0000-7444","")</f>
        <v>3071-0000-7444</v>
      </c>
      <c r="B7498" s="4" t="s">
        <v>4591</v>
      </c>
      <c r="C7498" s="5">
        <v>41489</v>
      </c>
      <c r="D7498" s="5">
        <v>41549</v>
      </c>
      <c r="E7498" s="4" t="s">
        <v>1410</v>
      </c>
      <c r="F7498" s="4" t="s">
        <v>1410</v>
      </c>
    </row>
    <row r="7499" spans="1:6" x14ac:dyDescent="0.25">
      <c r="A7499" s="4" t="str">
        <f>CONCATENATE("3071-0000-3627","")</f>
        <v>3071-0000-3627</v>
      </c>
      <c r="B7499" s="4" t="s">
        <v>1642</v>
      </c>
      <c r="C7499" s="5">
        <v>41489</v>
      </c>
      <c r="D7499" s="5">
        <v>41549</v>
      </c>
      <c r="E7499" s="4" t="s">
        <v>1410</v>
      </c>
      <c r="F7499" s="4" t="s">
        <v>1410</v>
      </c>
    </row>
    <row r="7500" spans="1:6" x14ac:dyDescent="0.25">
      <c r="A7500" s="4" t="str">
        <f>CONCATENATE("3071-0000-3667","")</f>
        <v>3071-0000-3667</v>
      </c>
      <c r="B7500" s="4" t="s">
        <v>1675</v>
      </c>
      <c r="C7500" s="5">
        <v>41489</v>
      </c>
      <c r="D7500" s="5">
        <v>41549</v>
      </c>
      <c r="E7500" s="4" t="s">
        <v>1410</v>
      </c>
      <c r="F7500" s="4" t="s">
        <v>1601</v>
      </c>
    </row>
    <row r="7501" spans="1:6" x14ac:dyDescent="0.25">
      <c r="A7501" s="4" t="str">
        <f>CONCATENATE("3071-0000-3623","")</f>
        <v>3071-0000-3623</v>
      </c>
      <c r="B7501" s="4" t="s">
        <v>1634</v>
      </c>
      <c r="C7501" s="5">
        <v>41489</v>
      </c>
      <c r="D7501" s="5">
        <v>41549</v>
      </c>
      <c r="E7501" s="4" t="s">
        <v>1410</v>
      </c>
      <c r="F7501" s="4" t="s">
        <v>1410</v>
      </c>
    </row>
    <row r="7502" spans="1:6" x14ac:dyDescent="0.25">
      <c r="A7502" s="4" t="str">
        <f>CONCATENATE("3071-0000-8747","")</f>
        <v>3071-0000-8747</v>
      </c>
      <c r="B7502" s="4" t="s">
        <v>6568</v>
      </c>
      <c r="C7502" s="5">
        <v>41489</v>
      </c>
      <c r="D7502" s="5">
        <v>41549</v>
      </c>
      <c r="E7502" s="4" t="s">
        <v>5185</v>
      </c>
      <c r="F7502" s="4" t="s">
        <v>5292</v>
      </c>
    </row>
    <row r="7503" spans="1:6" x14ac:dyDescent="0.25">
      <c r="A7503" s="4" t="str">
        <f>CONCATENATE("3071-0000-8780","")</f>
        <v>3071-0000-8780</v>
      </c>
      <c r="B7503" s="4" t="s">
        <v>6597</v>
      </c>
      <c r="C7503" s="5">
        <v>41489</v>
      </c>
      <c r="D7503" s="5">
        <v>41549</v>
      </c>
      <c r="E7503" s="4" t="s">
        <v>5185</v>
      </c>
      <c r="F7503" s="4" t="s">
        <v>5292</v>
      </c>
    </row>
    <row r="7504" spans="1:6" x14ac:dyDescent="0.25">
      <c r="A7504" s="4" t="str">
        <f>CONCATENATE("3071-0000-8786","")</f>
        <v>3071-0000-8786</v>
      </c>
      <c r="B7504" s="4" t="s">
        <v>6575</v>
      </c>
      <c r="C7504" s="5">
        <v>41489</v>
      </c>
      <c r="D7504" s="5">
        <v>41549</v>
      </c>
      <c r="E7504" s="4" t="s">
        <v>5185</v>
      </c>
      <c r="F7504" s="4" t="s">
        <v>5292</v>
      </c>
    </row>
    <row r="7505" spans="1:6" x14ac:dyDescent="0.25">
      <c r="A7505" s="4" t="str">
        <f>CONCATENATE("3071-0000-8248","")</f>
        <v>3071-0000-8248</v>
      </c>
      <c r="B7505" s="4" t="s">
        <v>5670</v>
      </c>
      <c r="C7505" s="5">
        <v>41489</v>
      </c>
      <c r="D7505" s="5">
        <v>41549</v>
      </c>
      <c r="E7505" s="4" t="s">
        <v>5185</v>
      </c>
      <c r="F7505" s="4" t="s">
        <v>5185</v>
      </c>
    </row>
    <row r="7506" spans="1:6" x14ac:dyDescent="0.25">
      <c r="A7506" s="4" t="str">
        <f>CONCATENATE("3071-0000-8744","")</f>
        <v>3071-0000-8744</v>
      </c>
      <c r="B7506" s="4" t="s">
        <v>6571</v>
      </c>
      <c r="C7506" s="5">
        <v>41489</v>
      </c>
      <c r="D7506" s="5">
        <v>41549</v>
      </c>
      <c r="E7506" s="4" t="s">
        <v>5185</v>
      </c>
      <c r="F7506" s="4" t="s">
        <v>5292</v>
      </c>
    </row>
    <row r="7507" spans="1:6" x14ac:dyDescent="0.25">
      <c r="A7507" s="4" t="str">
        <f>CONCATENATE("3071-0000-5784","")</f>
        <v>3071-0000-5784</v>
      </c>
      <c r="B7507" s="4" t="s">
        <v>7015</v>
      </c>
      <c r="C7507" s="5">
        <v>41489</v>
      </c>
      <c r="D7507" s="5">
        <v>41549</v>
      </c>
      <c r="E7507" s="4" t="s">
        <v>5185</v>
      </c>
      <c r="F7507" s="4" t="s">
        <v>5185</v>
      </c>
    </row>
    <row r="7508" spans="1:6" x14ac:dyDescent="0.25">
      <c r="A7508" s="4" t="str">
        <f>CONCATENATE("3071-0000-8614","")</f>
        <v>3071-0000-8614</v>
      </c>
      <c r="B7508" s="4" t="s">
        <v>6115</v>
      </c>
      <c r="C7508" s="5">
        <v>41489</v>
      </c>
      <c r="D7508" s="5">
        <v>41549</v>
      </c>
      <c r="E7508" s="4" t="s">
        <v>5185</v>
      </c>
      <c r="F7508" s="4" t="s">
        <v>5945</v>
      </c>
    </row>
    <row r="7509" spans="1:6" x14ac:dyDescent="0.25">
      <c r="A7509" s="4" t="str">
        <f>CONCATENATE("3071-0000-8118","")</f>
        <v>3071-0000-8118</v>
      </c>
      <c r="B7509" s="4" t="s">
        <v>6006</v>
      </c>
      <c r="C7509" s="5">
        <v>41489</v>
      </c>
      <c r="D7509" s="5">
        <v>41549</v>
      </c>
      <c r="E7509" s="4" t="s">
        <v>5185</v>
      </c>
      <c r="F7509" s="4" t="s">
        <v>5185</v>
      </c>
    </row>
    <row r="7510" spans="1:6" x14ac:dyDescent="0.25">
      <c r="A7510" s="4" t="str">
        <f>CONCATENATE("3071-0000-1569","")</f>
        <v>3071-0000-1569</v>
      </c>
      <c r="B7510" s="4" t="s">
        <v>2793</v>
      </c>
      <c r="C7510" s="5">
        <v>41489</v>
      </c>
      <c r="D7510" s="5">
        <v>41549</v>
      </c>
      <c r="E7510" s="4" t="s">
        <v>1381</v>
      </c>
      <c r="F7510" s="4" t="s">
        <v>2303</v>
      </c>
    </row>
    <row r="7511" spans="1:6" x14ac:dyDescent="0.25">
      <c r="A7511" s="4" t="str">
        <f>CONCATENATE("3071-0000-8481","")</f>
        <v>3071-0000-8481</v>
      </c>
      <c r="B7511" s="4" t="s">
        <v>6089</v>
      </c>
      <c r="C7511" s="5">
        <v>41489</v>
      </c>
      <c r="D7511" s="5">
        <v>41549</v>
      </c>
      <c r="E7511" s="4" t="s">
        <v>5185</v>
      </c>
      <c r="F7511" s="4" t="s">
        <v>5945</v>
      </c>
    </row>
    <row r="7512" spans="1:6" x14ac:dyDescent="0.25">
      <c r="A7512" s="4" t="str">
        <f>CONCATENATE("3071-0000-8609","")</f>
        <v>3071-0000-8609</v>
      </c>
      <c r="B7512" s="4" t="s">
        <v>6100</v>
      </c>
      <c r="C7512" s="5">
        <v>41489</v>
      </c>
      <c r="D7512" s="5">
        <v>41549</v>
      </c>
      <c r="E7512" s="4" t="s">
        <v>5185</v>
      </c>
      <c r="F7512" s="4" t="s">
        <v>5945</v>
      </c>
    </row>
    <row r="7513" spans="1:6" x14ac:dyDescent="0.25">
      <c r="A7513" s="4" t="str">
        <f>CONCATENATE("3071-0000-8611","")</f>
        <v>3071-0000-8611</v>
      </c>
      <c r="B7513" s="4" t="s">
        <v>6104</v>
      </c>
      <c r="C7513" s="5">
        <v>41489</v>
      </c>
      <c r="D7513" s="5">
        <v>41549</v>
      </c>
      <c r="E7513" s="4" t="s">
        <v>5185</v>
      </c>
      <c r="F7513" s="4" t="s">
        <v>5945</v>
      </c>
    </row>
    <row r="7514" spans="1:6" x14ac:dyDescent="0.25">
      <c r="A7514" s="4" t="str">
        <f>CONCATENATE("3071-0000-8617","")</f>
        <v>3071-0000-8617</v>
      </c>
      <c r="B7514" s="4" t="s">
        <v>6098</v>
      </c>
      <c r="C7514" s="5">
        <v>41489</v>
      </c>
      <c r="D7514" s="5">
        <v>41549</v>
      </c>
      <c r="E7514" s="4" t="s">
        <v>5185</v>
      </c>
      <c r="F7514" s="4" t="s">
        <v>5945</v>
      </c>
    </row>
    <row r="7515" spans="1:6" x14ac:dyDescent="0.25">
      <c r="A7515" s="4" t="str">
        <f>CONCATENATE("3071-0000-8142","")</f>
        <v>3071-0000-8142</v>
      </c>
      <c r="B7515" s="4" t="s">
        <v>5986</v>
      </c>
      <c r="C7515" s="5">
        <v>41489</v>
      </c>
      <c r="D7515" s="5">
        <v>41549</v>
      </c>
      <c r="E7515" s="4" t="s">
        <v>5185</v>
      </c>
      <c r="F7515" s="4" t="s">
        <v>5185</v>
      </c>
    </row>
    <row r="7516" spans="1:6" x14ac:dyDescent="0.25">
      <c r="A7516" s="4" t="str">
        <f>CONCATENATE("3071-0000-4374","")</f>
        <v>3071-0000-4374</v>
      </c>
      <c r="B7516" s="4" t="s">
        <v>9221</v>
      </c>
      <c r="C7516" s="5">
        <v>41489</v>
      </c>
      <c r="D7516" s="5">
        <v>41549</v>
      </c>
      <c r="E7516" s="4" t="s">
        <v>1410</v>
      </c>
      <c r="F7516" s="4" t="s">
        <v>8696</v>
      </c>
    </row>
    <row r="7517" spans="1:6" x14ac:dyDescent="0.25">
      <c r="A7517" s="4" t="str">
        <f>CONCATENATE("3071-0000-4582","")</f>
        <v>3071-0000-4582</v>
      </c>
      <c r="B7517" s="4" t="s">
        <v>9606</v>
      </c>
      <c r="C7517" s="5">
        <v>41489</v>
      </c>
      <c r="D7517" s="5">
        <v>41549</v>
      </c>
      <c r="E7517" s="4" t="s">
        <v>7069</v>
      </c>
      <c r="F7517" s="4" t="s">
        <v>9485</v>
      </c>
    </row>
    <row r="7518" spans="1:6" x14ac:dyDescent="0.25">
      <c r="A7518" s="4" t="str">
        <f>CONCATENATE("3071-0000-5025","")</f>
        <v>3071-0000-5025</v>
      </c>
      <c r="B7518" s="4" t="s">
        <v>9267</v>
      </c>
      <c r="C7518" s="5">
        <v>41489</v>
      </c>
      <c r="D7518" s="5">
        <v>41549</v>
      </c>
      <c r="E7518" s="4" t="s">
        <v>7069</v>
      </c>
      <c r="F7518" s="4" t="s">
        <v>9210</v>
      </c>
    </row>
    <row r="7519" spans="1:6" x14ac:dyDescent="0.25">
      <c r="A7519" s="4" t="str">
        <f>CONCATENATE("3071-0000-4575","")</f>
        <v>3071-0000-4575</v>
      </c>
      <c r="B7519" s="4" t="s">
        <v>9594</v>
      </c>
      <c r="C7519" s="5">
        <v>41489</v>
      </c>
      <c r="D7519" s="5">
        <v>41549</v>
      </c>
      <c r="E7519" s="4" t="s">
        <v>1410</v>
      </c>
      <c r="F7519" s="4" t="s">
        <v>8696</v>
      </c>
    </row>
    <row r="7520" spans="1:6" x14ac:dyDescent="0.25">
      <c r="A7520" s="4" t="str">
        <f>CONCATENATE("3071-0000-4384","")</f>
        <v>3071-0000-4384</v>
      </c>
      <c r="B7520" s="4" t="s">
        <v>9233</v>
      </c>
      <c r="C7520" s="5">
        <v>41489</v>
      </c>
      <c r="D7520" s="5">
        <v>41549</v>
      </c>
      <c r="E7520" s="4" t="s">
        <v>1410</v>
      </c>
      <c r="F7520" s="4" t="s">
        <v>8696</v>
      </c>
    </row>
    <row r="7521" spans="1:6" x14ac:dyDescent="0.25">
      <c r="A7521" s="4" t="str">
        <f>CONCATENATE("3071-0000-2676","")</f>
        <v>3071-0000-2676</v>
      </c>
      <c r="B7521" s="4" t="s">
        <v>3431</v>
      </c>
      <c r="C7521" s="5">
        <v>41489</v>
      </c>
      <c r="D7521" s="5">
        <v>41549</v>
      </c>
      <c r="E7521" s="4" t="s">
        <v>1857</v>
      </c>
      <c r="F7521" s="4" t="s">
        <v>3306</v>
      </c>
    </row>
    <row r="7522" spans="1:6" x14ac:dyDescent="0.25">
      <c r="A7522" s="4" t="str">
        <f>CONCATENATE("3071-0000-5371","")</f>
        <v>3071-0000-5371</v>
      </c>
      <c r="B7522" s="4" t="s">
        <v>6880</v>
      </c>
      <c r="C7522" s="5">
        <v>41489</v>
      </c>
      <c r="D7522" s="5">
        <v>41549</v>
      </c>
      <c r="E7522" s="4" t="s">
        <v>5185</v>
      </c>
      <c r="F7522" s="4" t="s">
        <v>5185</v>
      </c>
    </row>
    <row r="7523" spans="1:6" x14ac:dyDescent="0.25">
      <c r="A7523" s="4" t="str">
        <f>CONCATENATE("3071-0000-6742","")</f>
        <v>3071-0000-6742</v>
      </c>
      <c r="B7523" s="4" t="s">
        <v>8170</v>
      </c>
      <c r="C7523" s="5">
        <v>41489</v>
      </c>
      <c r="D7523" s="5">
        <v>41549</v>
      </c>
      <c r="E7523" s="4" t="s">
        <v>5185</v>
      </c>
      <c r="F7523" s="4" t="s">
        <v>5185</v>
      </c>
    </row>
    <row r="7524" spans="1:6" x14ac:dyDescent="0.25">
      <c r="A7524" s="4" t="str">
        <f>CONCATENATE("3071-0000-6610","")</f>
        <v>3071-0000-6610</v>
      </c>
      <c r="B7524" s="4" t="s">
        <v>8013</v>
      </c>
      <c r="C7524" s="5">
        <v>41489</v>
      </c>
      <c r="D7524" s="5">
        <v>41549</v>
      </c>
      <c r="E7524" s="4" t="s">
        <v>5185</v>
      </c>
      <c r="F7524" s="4" t="s">
        <v>5185</v>
      </c>
    </row>
    <row r="7525" spans="1:6" x14ac:dyDescent="0.25">
      <c r="A7525" s="4" t="str">
        <f>CONCATENATE("3071-0000-0970","")</f>
        <v>3071-0000-0970</v>
      </c>
      <c r="B7525" s="4" t="s">
        <v>2153</v>
      </c>
      <c r="C7525" s="5">
        <v>41489</v>
      </c>
      <c r="D7525" s="5">
        <v>41549</v>
      </c>
      <c r="E7525" s="4" t="s">
        <v>1857</v>
      </c>
      <c r="F7525" s="4" t="s">
        <v>1857</v>
      </c>
    </row>
    <row r="7526" spans="1:6" x14ac:dyDescent="0.25">
      <c r="A7526" s="4" t="str">
        <f>CONCATENATE("3071-0000-7021","")</f>
        <v>3071-0000-7021</v>
      </c>
      <c r="B7526" s="4" t="s">
        <v>4671</v>
      </c>
      <c r="C7526" s="5">
        <v>41489</v>
      </c>
      <c r="D7526" s="5">
        <v>41549</v>
      </c>
      <c r="E7526" s="4" t="s">
        <v>1410</v>
      </c>
      <c r="F7526" s="4" t="s">
        <v>1410</v>
      </c>
    </row>
    <row r="7527" spans="1:6" x14ac:dyDescent="0.25">
      <c r="A7527" s="4" t="str">
        <f>CONCATENATE("3071-0000-6611","")</f>
        <v>3071-0000-6611</v>
      </c>
      <c r="B7527" s="4" t="s">
        <v>8014</v>
      </c>
      <c r="C7527" s="5">
        <v>41489</v>
      </c>
      <c r="D7527" s="5">
        <v>41549</v>
      </c>
      <c r="E7527" s="4" t="s">
        <v>5185</v>
      </c>
      <c r="F7527" s="4" t="s">
        <v>5185</v>
      </c>
    </row>
    <row r="7528" spans="1:6" x14ac:dyDescent="0.25">
      <c r="A7528" s="4" t="str">
        <f>CONCATENATE("3071-0000-6606","")</f>
        <v>3071-0000-6606</v>
      </c>
      <c r="B7528" s="4" t="s">
        <v>7992</v>
      </c>
      <c r="C7528" s="5">
        <v>41489</v>
      </c>
      <c r="D7528" s="5">
        <v>41549</v>
      </c>
      <c r="E7528" s="4" t="s">
        <v>5185</v>
      </c>
      <c r="F7528" s="4" t="s">
        <v>5185</v>
      </c>
    </row>
    <row r="7529" spans="1:6" x14ac:dyDescent="0.25">
      <c r="A7529" s="4" t="str">
        <f>CONCATENATE("3071-0000-1176","")</f>
        <v>3071-0000-1176</v>
      </c>
      <c r="B7529" s="4" t="s">
        <v>2177</v>
      </c>
      <c r="C7529" s="5">
        <v>41489</v>
      </c>
      <c r="D7529" s="5">
        <v>41549</v>
      </c>
      <c r="E7529" s="4" t="s">
        <v>1857</v>
      </c>
      <c r="F7529" s="4" t="s">
        <v>2144</v>
      </c>
    </row>
    <row r="7530" spans="1:6" x14ac:dyDescent="0.25">
      <c r="A7530" s="4" t="str">
        <f>CONCATENATE("3071-0000-6862","")</f>
        <v>3071-0000-6862</v>
      </c>
      <c r="B7530" s="4" t="s">
        <v>7987</v>
      </c>
      <c r="C7530" s="5">
        <v>41489</v>
      </c>
      <c r="D7530" s="5">
        <v>41549</v>
      </c>
      <c r="E7530" s="4" t="s">
        <v>1410</v>
      </c>
      <c r="F7530" s="4" t="s">
        <v>4655</v>
      </c>
    </row>
    <row r="7531" spans="1:6" x14ac:dyDescent="0.25">
      <c r="A7531" s="4" t="str">
        <f>CONCATENATE("3071-0000-6600","")</f>
        <v>3071-0000-6600</v>
      </c>
      <c r="B7531" s="4" t="s">
        <v>7982</v>
      </c>
      <c r="C7531" s="5">
        <v>41489</v>
      </c>
      <c r="D7531" s="5">
        <v>41549</v>
      </c>
      <c r="E7531" s="4" t="s">
        <v>5185</v>
      </c>
      <c r="F7531" s="4" t="s">
        <v>5185</v>
      </c>
    </row>
    <row r="7532" spans="1:6" x14ac:dyDescent="0.25">
      <c r="A7532" s="4" t="str">
        <f>CONCATENATE("3071-0000-7583","")</f>
        <v>3071-0000-7583</v>
      </c>
      <c r="B7532" s="4" t="s">
        <v>4309</v>
      </c>
      <c r="C7532" s="5">
        <v>41489</v>
      </c>
      <c r="D7532" s="5">
        <v>41549</v>
      </c>
      <c r="E7532" s="4" t="s">
        <v>1410</v>
      </c>
      <c r="F7532" s="4" t="s">
        <v>1410</v>
      </c>
    </row>
    <row r="7533" spans="1:6" x14ac:dyDescent="0.25">
      <c r="A7533" s="4" t="str">
        <f>CONCATENATE("3071-0000-6689","")</f>
        <v>3071-0000-6689</v>
      </c>
      <c r="B7533" s="4" t="s">
        <v>8154</v>
      </c>
      <c r="C7533" s="5">
        <v>41489</v>
      </c>
      <c r="D7533" s="5">
        <v>41549</v>
      </c>
      <c r="E7533" s="4" t="s">
        <v>5185</v>
      </c>
      <c r="F7533" s="4" t="s">
        <v>5185</v>
      </c>
    </row>
    <row r="7534" spans="1:6" x14ac:dyDescent="0.25">
      <c r="A7534" s="4" t="str">
        <f>CONCATENATE("3071-0000-1861","")</f>
        <v>3071-0000-1861</v>
      </c>
      <c r="B7534" s="4" t="s">
        <v>2745</v>
      </c>
      <c r="C7534" s="5">
        <v>41489</v>
      </c>
      <c r="D7534" s="5">
        <v>41549</v>
      </c>
      <c r="E7534" s="4" t="s">
        <v>1381</v>
      </c>
      <c r="F7534" s="4" t="s">
        <v>1382</v>
      </c>
    </row>
    <row r="7535" spans="1:6" x14ac:dyDescent="0.25">
      <c r="A7535" s="4" t="str">
        <f>CONCATENATE("3071-0000-3941","")</f>
        <v>3071-0000-3941</v>
      </c>
      <c r="B7535" s="4" t="s">
        <v>4085</v>
      </c>
      <c r="C7535" s="5">
        <v>41489</v>
      </c>
      <c r="D7535" s="5">
        <v>41549</v>
      </c>
      <c r="E7535" s="4" t="s">
        <v>1381</v>
      </c>
      <c r="F7535" s="4" t="s">
        <v>4057</v>
      </c>
    </row>
    <row r="7536" spans="1:6" x14ac:dyDescent="0.25">
      <c r="A7536" s="4" t="str">
        <f>CONCATENATE("3071-0000-1380","")</f>
        <v>3071-0000-1380</v>
      </c>
      <c r="B7536" s="4" t="s">
        <v>2555</v>
      </c>
      <c r="C7536" s="5">
        <v>41489</v>
      </c>
      <c r="D7536" s="5">
        <v>41549</v>
      </c>
      <c r="E7536" s="4" t="s">
        <v>1381</v>
      </c>
      <c r="F7536" s="4" t="s">
        <v>2303</v>
      </c>
    </row>
    <row r="7537" spans="1:6" x14ac:dyDescent="0.25">
      <c r="A7537" s="4" t="str">
        <f>CONCATENATE("3071-0000-3453","")</f>
        <v>3071-0000-3453</v>
      </c>
      <c r="B7537" s="4" t="s">
        <v>1740</v>
      </c>
      <c r="C7537" s="5">
        <v>41489</v>
      </c>
      <c r="D7537" s="5">
        <v>41549</v>
      </c>
      <c r="E7537" s="4" t="s">
        <v>1410</v>
      </c>
      <c r="F7537" s="4" t="s">
        <v>1411</v>
      </c>
    </row>
    <row r="7538" spans="1:6" x14ac:dyDescent="0.25">
      <c r="A7538" s="4" t="str">
        <f>CONCATENATE("3071-0000-3467","")</f>
        <v>3071-0000-3467</v>
      </c>
      <c r="B7538" s="4" t="s">
        <v>1755</v>
      </c>
      <c r="C7538" s="5">
        <v>41489</v>
      </c>
      <c r="D7538" s="5">
        <v>41549</v>
      </c>
      <c r="E7538" s="4" t="s">
        <v>1410</v>
      </c>
      <c r="F7538" s="4" t="s">
        <v>1411</v>
      </c>
    </row>
    <row r="7539" spans="1:6" x14ac:dyDescent="0.25">
      <c r="A7539" s="4" t="str">
        <f>CONCATENATE("3071-0000-3461","")</f>
        <v>3071-0000-3461</v>
      </c>
      <c r="B7539" s="4" t="s">
        <v>1749</v>
      </c>
      <c r="C7539" s="5">
        <v>41489</v>
      </c>
      <c r="D7539" s="5">
        <v>41549</v>
      </c>
      <c r="E7539" s="4" t="s">
        <v>1410</v>
      </c>
      <c r="F7539" s="4" t="s">
        <v>1411</v>
      </c>
    </row>
    <row r="7540" spans="1:6" x14ac:dyDescent="0.25">
      <c r="A7540" s="4" t="str">
        <f>CONCATENATE("3071-0000-3471","")</f>
        <v>3071-0000-3471</v>
      </c>
      <c r="B7540" s="4" t="s">
        <v>1761</v>
      </c>
      <c r="C7540" s="5">
        <v>41489</v>
      </c>
      <c r="D7540" s="5">
        <v>41549</v>
      </c>
      <c r="E7540" s="4" t="s">
        <v>1410</v>
      </c>
      <c r="F7540" s="4" t="s">
        <v>1411</v>
      </c>
    </row>
    <row r="7541" spans="1:6" x14ac:dyDescent="0.25">
      <c r="A7541" s="4" t="str">
        <f>CONCATENATE("3071-0000-0526","")</f>
        <v>3071-0000-0526</v>
      </c>
      <c r="B7541" s="4" t="s">
        <v>647</v>
      </c>
      <c r="C7541" s="5">
        <v>41489</v>
      </c>
      <c r="D7541" s="5">
        <v>41549</v>
      </c>
      <c r="E7541" s="4" t="s">
        <v>7</v>
      </c>
      <c r="F7541" s="4" t="s">
        <v>7</v>
      </c>
    </row>
    <row r="7542" spans="1:6" x14ac:dyDescent="0.25">
      <c r="A7542" s="4" t="str">
        <f>CONCATENATE("3071-0000-4033","")</f>
        <v>3071-0000-4033</v>
      </c>
      <c r="B7542" s="4" t="s">
        <v>4232</v>
      </c>
      <c r="C7542" s="5">
        <v>41489</v>
      </c>
      <c r="D7542" s="5">
        <v>41549</v>
      </c>
      <c r="E7542" s="4" t="s">
        <v>7</v>
      </c>
      <c r="F7542" s="4" t="s">
        <v>1419</v>
      </c>
    </row>
    <row r="7543" spans="1:6" x14ac:dyDescent="0.25">
      <c r="A7543" s="4" t="str">
        <f>CONCATENATE("3071-0000-1688","")</f>
        <v>3071-0000-1688</v>
      </c>
      <c r="B7543" s="4" t="s">
        <v>2892</v>
      </c>
      <c r="C7543" s="5">
        <v>41489</v>
      </c>
      <c r="D7543" s="5">
        <v>41549</v>
      </c>
      <c r="E7543" s="4" t="s">
        <v>1381</v>
      </c>
      <c r="F7543" s="4" t="s">
        <v>2840</v>
      </c>
    </row>
    <row r="7544" spans="1:6" x14ac:dyDescent="0.25">
      <c r="A7544" s="4" t="str">
        <f>CONCATENATE("3071-0000-4002","")</f>
        <v>3071-0000-4002</v>
      </c>
      <c r="B7544" s="4" t="s">
        <v>4088</v>
      </c>
      <c r="C7544" s="5">
        <v>41489</v>
      </c>
      <c r="D7544" s="5">
        <v>41549</v>
      </c>
      <c r="E7544" s="4" t="s">
        <v>1381</v>
      </c>
      <c r="F7544" s="4" t="s">
        <v>4057</v>
      </c>
    </row>
    <row r="7545" spans="1:6" x14ac:dyDescent="0.25">
      <c r="A7545" s="4" t="str">
        <f>CONCATENATE("3071-0000-1546","")</f>
        <v>3071-0000-1546</v>
      </c>
      <c r="B7545" s="4" t="s">
        <v>2868</v>
      </c>
      <c r="C7545" s="5">
        <v>41489</v>
      </c>
      <c r="D7545" s="5">
        <v>41549</v>
      </c>
      <c r="E7545" s="4" t="s">
        <v>1381</v>
      </c>
      <c r="F7545" s="4" t="s">
        <v>2303</v>
      </c>
    </row>
    <row r="7546" spans="1:6" x14ac:dyDescent="0.25">
      <c r="A7546" s="4" t="str">
        <f>CONCATENATE("3071-0000-1513","")</f>
        <v>3071-0000-1513</v>
      </c>
      <c r="B7546" s="4" t="s">
        <v>2842</v>
      </c>
      <c r="C7546" s="5">
        <v>41489</v>
      </c>
      <c r="D7546" s="5">
        <v>41549</v>
      </c>
      <c r="E7546" s="4" t="s">
        <v>1381</v>
      </c>
      <c r="F7546" s="4" t="s">
        <v>2303</v>
      </c>
    </row>
    <row r="7547" spans="1:6" x14ac:dyDescent="0.25">
      <c r="A7547" s="4" t="str">
        <f>CONCATENATE("3071-0000-3454","")</f>
        <v>3071-0000-3454</v>
      </c>
      <c r="B7547" s="4" t="s">
        <v>1741</v>
      </c>
      <c r="C7547" s="5">
        <v>41489</v>
      </c>
      <c r="D7547" s="5">
        <v>41549</v>
      </c>
      <c r="E7547" s="4" t="s">
        <v>1410</v>
      </c>
      <c r="F7547" s="4" t="s">
        <v>1411</v>
      </c>
    </row>
    <row r="7548" spans="1:6" x14ac:dyDescent="0.25">
      <c r="A7548" s="4" t="str">
        <f>CONCATENATE("3071-0000-6078","")</f>
        <v>3071-0000-6078</v>
      </c>
      <c r="B7548" s="4" t="s">
        <v>7528</v>
      </c>
      <c r="C7548" s="5">
        <v>41489</v>
      </c>
      <c r="D7548" s="5">
        <v>41549</v>
      </c>
      <c r="E7548" s="4" t="s">
        <v>1410</v>
      </c>
      <c r="F7548" s="4" t="s">
        <v>1410</v>
      </c>
    </row>
    <row r="7549" spans="1:6" x14ac:dyDescent="0.25">
      <c r="A7549" s="4" t="str">
        <f>CONCATENATE("3071-0000-0539","")</f>
        <v>3071-0000-0539</v>
      </c>
      <c r="B7549" s="4" t="s">
        <v>239</v>
      </c>
      <c r="C7549" s="5">
        <v>41489</v>
      </c>
      <c r="D7549" s="5">
        <v>41549</v>
      </c>
      <c r="E7549" s="4" t="s">
        <v>7</v>
      </c>
      <c r="F7549" s="4" t="s">
        <v>7</v>
      </c>
    </row>
    <row r="7550" spans="1:6" x14ac:dyDescent="0.25">
      <c r="A7550" s="4" t="str">
        <f>CONCATENATE("3071-0000-4028","")</f>
        <v>3071-0000-4028</v>
      </c>
      <c r="B7550" s="4" t="s">
        <v>4221</v>
      </c>
      <c r="C7550" s="5">
        <v>41489</v>
      </c>
      <c r="D7550" s="5">
        <v>41549</v>
      </c>
      <c r="E7550" s="4" t="s">
        <v>7</v>
      </c>
      <c r="F7550" s="4" t="s">
        <v>1419</v>
      </c>
    </row>
    <row r="7551" spans="1:6" x14ac:dyDescent="0.25">
      <c r="A7551" s="4" t="str">
        <f>CONCATENATE("3071-0000-4022","")</f>
        <v>3071-0000-4022</v>
      </c>
      <c r="B7551" s="4" t="s">
        <v>4214</v>
      </c>
      <c r="C7551" s="5">
        <v>41489</v>
      </c>
      <c r="D7551" s="5">
        <v>41549</v>
      </c>
      <c r="E7551" s="4" t="s">
        <v>7</v>
      </c>
      <c r="F7551" s="4" t="s">
        <v>1419</v>
      </c>
    </row>
    <row r="7552" spans="1:6" x14ac:dyDescent="0.25">
      <c r="A7552" s="4" t="str">
        <f>CONCATENATE("3071-0000-7584","")</f>
        <v>3071-0000-7584</v>
      </c>
      <c r="B7552" s="4" t="s">
        <v>4613</v>
      </c>
      <c r="C7552" s="5">
        <v>41489</v>
      </c>
      <c r="D7552" s="5">
        <v>41549</v>
      </c>
      <c r="E7552" s="4" t="s">
        <v>1410</v>
      </c>
      <c r="F7552" s="4" t="s">
        <v>1410</v>
      </c>
    </row>
    <row r="7553" spans="1:6" x14ac:dyDescent="0.25">
      <c r="A7553" s="4" t="str">
        <f>CONCATENATE("3071-0000-3703","")</f>
        <v>3071-0000-3703</v>
      </c>
      <c r="B7553" s="4" t="s">
        <v>1447</v>
      </c>
      <c r="C7553" s="5">
        <v>41489</v>
      </c>
      <c r="D7553" s="5">
        <v>41549</v>
      </c>
      <c r="E7553" s="4" t="s">
        <v>1410</v>
      </c>
      <c r="F7553" s="4" t="s">
        <v>1411</v>
      </c>
    </row>
    <row r="7554" spans="1:6" x14ac:dyDescent="0.25">
      <c r="A7554" s="4" t="str">
        <f>CONCATENATE("3071-0000-4151","")</f>
        <v>3071-0000-4151</v>
      </c>
      <c r="B7554" s="4" t="s">
        <v>3997</v>
      </c>
      <c r="C7554" s="5">
        <v>41489</v>
      </c>
      <c r="D7554" s="5">
        <v>41549</v>
      </c>
      <c r="E7554" s="4" t="s">
        <v>1381</v>
      </c>
      <c r="F7554" s="4" t="s">
        <v>3994</v>
      </c>
    </row>
    <row r="7555" spans="1:6" x14ac:dyDescent="0.25">
      <c r="A7555" s="4" t="str">
        <f>CONCATENATE("3071-0000-3466","")</f>
        <v>3071-0000-3466</v>
      </c>
      <c r="B7555" s="4" t="s">
        <v>1754</v>
      </c>
      <c r="C7555" s="5">
        <v>41489</v>
      </c>
      <c r="D7555" s="5">
        <v>41549</v>
      </c>
      <c r="E7555" s="4" t="s">
        <v>1410</v>
      </c>
      <c r="F7555" s="4" t="s">
        <v>1411</v>
      </c>
    </row>
    <row r="7556" spans="1:6" x14ac:dyDescent="0.25">
      <c r="A7556" s="4" t="str">
        <f>CONCATENATE("3071-0000-3898","")</f>
        <v>3071-0000-3898</v>
      </c>
      <c r="B7556" s="4" t="s">
        <v>4118</v>
      </c>
      <c r="C7556" s="5">
        <v>41489</v>
      </c>
      <c r="D7556" s="5">
        <v>41549</v>
      </c>
      <c r="E7556" s="4" t="s">
        <v>2944</v>
      </c>
      <c r="F7556" s="4" t="s">
        <v>3513</v>
      </c>
    </row>
    <row r="7557" spans="1:6" x14ac:dyDescent="0.25">
      <c r="A7557" s="4" t="str">
        <f>CONCATENATE("3071-0000-4148","")</f>
        <v>3071-0000-4148</v>
      </c>
      <c r="B7557" s="4" t="s">
        <v>4043</v>
      </c>
      <c r="C7557" s="5">
        <v>41489</v>
      </c>
      <c r="D7557" s="5">
        <v>41549</v>
      </c>
      <c r="E7557" s="4" t="s">
        <v>1381</v>
      </c>
      <c r="F7557" s="4" t="s">
        <v>4044</v>
      </c>
    </row>
    <row r="7558" spans="1:6" x14ac:dyDescent="0.25">
      <c r="A7558" s="4" t="str">
        <f>CONCATENATE("3071-0000-3864","")</f>
        <v>3071-0000-3864</v>
      </c>
      <c r="B7558" s="4" t="s">
        <v>4011</v>
      </c>
      <c r="C7558" s="5">
        <v>41489</v>
      </c>
      <c r="D7558" s="5">
        <v>41549</v>
      </c>
      <c r="E7558" s="4" t="s">
        <v>1381</v>
      </c>
      <c r="F7558" s="4" t="s">
        <v>3994</v>
      </c>
    </row>
    <row r="7559" spans="1:6" x14ac:dyDescent="0.25">
      <c r="A7559" s="4" t="str">
        <f>CONCATENATE("3071-0000-1285","")</f>
        <v>3071-0000-1285</v>
      </c>
      <c r="B7559" s="4" t="s">
        <v>2394</v>
      </c>
      <c r="C7559" s="5">
        <v>41489</v>
      </c>
      <c r="D7559" s="5">
        <v>41549</v>
      </c>
      <c r="E7559" s="4" t="s">
        <v>1381</v>
      </c>
      <c r="F7559" s="4" t="s">
        <v>2303</v>
      </c>
    </row>
    <row r="7560" spans="1:6" x14ac:dyDescent="0.25">
      <c r="A7560" s="4" t="str">
        <f>CONCATENATE("3071-0000-3931","")</f>
        <v>3071-0000-3931</v>
      </c>
      <c r="B7560" s="4" t="s">
        <v>4079</v>
      </c>
      <c r="C7560" s="5">
        <v>41489</v>
      </c>
      <c r="D7560" s="5">
        <v>41549</v>
      </c>
      <c r="E7560" s="4" t="s">
        <v>1381</v>
      </c>
      <c r="F7560" s="4" t="s">
        <v>4057</v>
      </c>
    </row>
    <row r="7561" spans="1:6" x14ac:dyDescent="0.25">
      <c r="A7561" s="4" t="str">
        <f>CONCATENATE("3071-0000-8774","")</f>
        <v>3071-0000-8774</v>
      </c>
      <c r="B7561" s="4" t="s">
        <v>6588</v>
      </c>
      <c r="C7561" s="5">
        <v>41489</v>
      </c>
      <c r="D7561" s="5">
        <v>41549</v>
      </c>
      <c r="E7561" s="4" t="s">
        <v>5185</v>
      </c>
      <c r="F7561" s="4" t="s">
        <v>5292</v>
      </c>
    </row>
    <row r="7562" spans="1:6" x14ac:dyDescent="0.25">
      <c r="A7562" s="4" t="str">
        <f>CONCATENATE("3071-0000-1540","")</f>
        <v>3071-0000-1540</v>
      </c>
      <c r="B7562" s="4" t="s">
        <v>2768</v>
      </c>
      <c r="C7562" s="5">
        <v>41489</v>
      </c>
      <c r="D7562" s="5">
        <v>41549</v>
      </c>
      <c r="E7562" s="4" t="s">
        <v>1381</v>
      </c>
      <c r="F7562" s="4" t="s">
        <v>2303</v>
      </c>
    </row>
    <row r="7563" spans="1:6" x14ac:dyDescent="0.25">
      <c r="A7563" s="4" t="str">
        <f>CONCATENATE("3071-0000-7611","")</f>
        <v>3071-0000-7611</v>
      </c>
      <c r="B7563" s="4" t="s">
        <v>4621</v>
      </c>
      <c r="C7563" s="5">
        <v>41489</v>
      </c>
      <c r="D7563" s="5">
        <v>41549</v>
      </c>
      <c r="E7563" s="4" t="s">
        <v>1410</v>
      </c>
      <c r="F7563" s="4" t="s">
        <v>1410</v>
      </c>
    </row>
    <row r="7564" spans="1:6" x14ac:dyDescent="0.25">
      <c r="A7564" s="4" t="str">
        <f>CONCATENATE("3071-0000-4046","")</f>
        <v>3071-0000-4046</v>
      </c>
      <c r="B7564" s="4" t="s">
        <v>3990</v>
      </c>
      <c r="C7564" s="5">
        <v>41489</v>
      </c>
      <c r="D7564" s="5">
        <v>41549</v>
      </c>
      <c r="E7564" s="4" t="s">
        <v>7</v>
      </c>
      <c r="F7564" s="4" t="s">
        <v>1419</v>
      </c>
    </row>
    <row r="7565" spans="1:6" x14ac:dyDescent="0.25">
      <c r="A7565" s="4" t="str">
        <f>CONCATENATE("3071-0000-6225","")</f>
        <v>3071-0000-6225</v>
      </c>
      <c r="B7565" s="4" t="s">
        <v>7396</v>
      </c>
      <c r="C7565" s="5">
        <v>41489</v>
      </c>
      <c r="D7565" s="5">
        <v>41549</v>
      </c>
      <c r="E7565" s="4" t="s">
        <v>1410</v>
      </c>
      <c r="F7565" s="4" t="s">
        <v>7309</v>
      </c>
    </row>
    <row r="7566" spans="1:6" x14ac:dyDescent="0.25">
      <c r="A7566" s="4" t="str">
        <f>CONCATENATE("3071-0000-8407","")</f>
        <v>3071-0000-8407</v>
      </c>
      <c r="B7566" s="4" t="s">
        <v>5619</v>
      </c>
      <c r="C7566" s="5">
        <v>41489</v>
      </c>
      <c r="D7566" s="5">
        <v>41549</v>
      </c>
      <c r="E7566" s="4" t="s">
        <v>5185</v>
      </c>
      <c r="F7566" s="4" t="s">
        <v>5185</v>
      </c>
    </row>
    <row r="7567" spans="1:6" x14ac:dyDescent="0.25">
      <c r="A7567" s="4" t="str">
        <f>CONCATENATE("3071-0000-8193","")</f>
        <v>3071-0000-8193</v>
      </c>
      <c r="B7567" s="4" t="s">
        <v>5965</v>
      </c>
      <c r="C7567" s="5">
        <v>41489</v>
      </c>
      <c r="D7567" s="5">
        <v>41549</v>
      </c>
      <c r="E7567" s="4" t="s">
        <v>5185</v>
      </c>
      <c r="F7567" s="4" t="s">
        <v>5185</v>
      </c>
    </row>
    <row r="7568" spans="1:6" x14ac:dyDescent="0.25">
      <c r="A7568" s="4" t="str">
        <f>CONCATENATE("3071-0000-4774","")</f>
        <v>3071-0000-4774</v>
      </c>
      <c r="B7568" s="4" t="s">
        <v>9047</v>
      </c>
      <c r="C7568" s="5">
        <v>41489</v>
      </c>
      <c r="D7568" s="5">
        <v>41549</v>
      </c>
      <c r="E7568" s="4" t="s">
        <v>1410</v>
      </c>
      <c r="F7568" s="4" t="s">
        <v>8696</v>
      </c>
    </row>
    <row r="7569" spans="1:6" x14ac:dyDescent="0.25">
      <c r="A7569" s="4" t="str">
        <f>CONCATENATE("3071-0000-9574","")</f>
        <v>3071-0000-9574</v>
      </c>
      <c r="B7569" s="4" t="s">
        <v>8611</v>
      </c>
      <c r="C7569" s="5">
        <v>41489</v>
      </c>
      <c r="D7569" s="5">
        <v>41549</v>
      </c>
      <c r="E7569" s="4" t="s">
        <v>1410</v>
      </c>
      <c r="F7569" s="4" t="s">
        <v>4459</v>
      </c>
    </row>
    <row r="7570" spans="1:6" x14ac:dyDescent="0.25">
      <c r="A7570" s="4" t="str">
        <f>CONCATENATE("3071-0000-9564","")</f>
        <v>3071-0000-9564</v>
      </c>
      <c r="B7570" s="4" t="s">
        <v>8543</v>
      </c>
      <c r="C7570" s="5">
        <v>41489</v>
      </c>
      <c r="D7570" s="5">
        <v>41549</v>
      </c>
      <c r="E7570" s="4" t="s">
        <v>1410</v>
      </c>
      <c r="F7570" s="4" t="s">
        <v>4459</v>
      </c>
    </row>
    <row r="7571" spans="1:6" x14ac:dyDescent="0.25">
      <c r="A7571" s="4" t="str">
        <f>CONCATENATE("3071-0000-4540","")</f>
        <v>3071-0000-4540</v>
      </c>
      <c r="B7571" s="4" t="s">
        <v>9066</v>
      </c>
      <c r="C7571" s="5">
        <v>41489</v>
      </c>
      <c r="D7571" s="5">
        <v>41549</v>
      </c>
      <c r="E7571" s="4" t="s">
        <v>1410</v>
      </c>
      <c r="F7571" s="4" t="s">
        <v>8696</v>
      </c>
    </row>
    <row r="7572" spans="1:6" x14ac:dyDescent="0.25">
      <c r="A7572" s="4" t="str">
        <f>CONCATENATE("3071-0000-6697","")</f>
        <v>3071-0000-6697</v>
      </c>
      <c r="B7572" s="4" t="s">
        <v>8017</v>
      </c>
      <c r="C7572" s="5">
        <v>41489</v>
      </c>
      <c r="D7572" s="5">
        <v>41549</v>
      </c>
      <c r="E7572" s="4" t="s">
        <v>5185</v>
      </c>
      <c r="F7572" s="4" t="s">
        <v>5185</v>
      </c>
    </row>
    <row r="7573" spans="1:6" x14ac:dyDescent="0.25">
      <c r="A7573" s="4" t="str">
        <f>CONCATENATE("3071-0000-4762","")</f>
        <v>3071-0000-4762</v>
      </c>
      <c r="B7573" s="4" t="s">
        <v>9016</v>
      </c>
      <c r="C7573" s="5">
        <v>41489</v>
      </c>
      <c r="D7573" s="5">
        <v>41549</v>
      </c>
      <c r="E7573" s="4" t="s">
        <v>1410</v>
      </c>
      <c r="F7573" s="4" t="s">
        <v>8696</v>
      </c>
    </row>
    <row r="7574" spans="1:6" x14ac:dyDescent="0.25">
      <c r="A7574" s="4" t="str">
        <f>CONCATENATE("3071-0000-8612","")</f>
        <v>3071-0000-8612</v>
      </c>
      <c r="B7574" s="4" t="s">
        <v>6116</v>
      </c>
      <c r="C7574" s="5">
        <v>41489</v>
      </c>
      <c r="D7574" s="5">
        <v>41549</v>
      </c>
      <c r="E7574" s="4" t="s">
        <v>5185</v>
      </c>
      <c r="F7574" s="4" t="s">
        <v>5945</v>
      </c>
    </row>
    <row r="7575" spans="1:6" x14ac:dyDescent="0.25">
      <c r="A7575" s="4" t="str">
        <f>CONCATENATE("3071-0000-6990","")</f>
        <v>3071-0000-6990</v>
      </c>
      <c r="B7575" s="4" t="s">
        <v>4370</v>
      </c>
      <c r="C7575" s="5">
        <v>41489</v>
      </c>
      <c r="D7575" s="5">
        <v>41549</v>
      </c>
      <c r="E7575" s="4" t="s">
        <v>1410</v>
      </c>
      <c r="F7575" s="4" t="s">
        <v>1410</v>
      </c>
    </row>
    <row r="7576" spans="1:6" x14ac:dyDescent="0.25">
      <c r="A7576" s="4" t="str">
        <f>CONCATENATE("3071-0000-6184","")</f>
        <v>3071-0000-6184</v>
      </c>
      <c r="B7576" s="4" t="s">
        <v>7742</v>
      </c>
      <c r="C7576" s="5">
        <v>41489</v>
      </c>
      <c r="D7576" s="5">
        <v>41549</v>
      </c>
      <c r="E7576" s="4" t="s">
        <v>1410</v>
      </c>
      <c r="F7576" s="4" t="s">
        <v>1410</v>
      </c>
    </row>
    <row r="7577" spans="1:6" x14ac:dyDescent="0.25">
      <c r="A7577" s="4" t="str">
        <f>CONCATENATE("3071-0000-5202","")</f>
        <v>3071-0000-5202</v>
      </c>
      <c r="B7577" s="4" t="s">
        <v>8745</v>
      </c>
      <c r="C7577" s="5">
        <v>41489</v>
      </c>
      <c r="D7577" s="5">
        <v>41549</v>
      </c>
      <c r="E7577" s="4" t="s">
        <v>1410</v>
      </c>
      <c r="F7577" s="4" t="s">
        <v>8696</v>
      </c>
    </row>
    <row r="7578" spans="1:6" x14ac:dyDescent="0.25">
      <c r="A7578" s="4" t="str">
        <f>CONCATENATE("3071-0000-0179","")</f>
        <v>3071-0000-0179</v>
      </c>
      <c r="B7578" s="4" t="s">
        <v>372</v>
      </c>
      <c r="C7578" s="5">
        <v>41489</v>
      </c>
      <c r="D7578" s="5">
        <v>41549</v>
      </c>
      <c r="E7578" s="4" t="s">
        <v>7</v>
      </c>
      <c r="F7578" s="4" t="s">
        <v>7</v>
      </c>
    </row>
    <row r="7579" spans="1:6" x14ac:dyDescent="0.25">
      <c r="A7579" s="4" t="str">
        <f>CONCATENATE("3071-0000-3546","")</f>
        <v>3071-0000-3546</v>
      </c>
      <c r="B7579" s="4" t="s">
        <v>1689</v>
      </c>
      <c r="C7579" s="5">
        <v>41489</v>
      </c>
      <c r="D7579" s="5">
        <v>41549</v>
      </c>
      <c r="E7579" s="4" t="s">
        <v>1410</v>
      </c>
      <c r="F7579" s="4" t="s">
        <v>1411</v>
      </c>
    </row>
    <row r="7580" spans="1:6" x14ac:dyDescent="0.25">
      <c r="A7580" s="4" t="str">
        <f>CONCATENATE("3071-0000-7751","")</f>
        <v>3071-0000-7751</v>
      </c>
      <c r="B7580" s="4" t="s">
        <v>4322</v>
      </c>
      <c r="C7580" s="5">
        <v>41489</v>
      </c>
      <c r="D7580" s="5">
        <v>41549</v>
      </c>
      <c r="E7580" s="4" t="s">
        <v>1410</v>
      </c>
      <c r="F7580" s="4" t="s">
        <v>1410</v>
      </c>
    </row>
    <row r="7581" spans="1:6" x14ac:dyDescent="0.25">
      <c r="A7581" s="4" t="str">
        <f>CONCATENATE("3071-0000-0349","")</f>
        <v>3071-0000-0349</v>
      </c>
      <c r="B7581" s="4" t="s">
        <v>388</v>
      </c>
      <c r="C7581" s="5">
        <v>41489</v>
      </c>
      <c r="D7581" s="5">
        <v>41549</v>
      </c>
      <c r="E7581" s="4" t="s">
        <v>7</v>
      </c>
      <c r="F7581" s="4" t="s">
        <v>7</v>
      </c>
    </row>
    <row r="7582" spans="1:6" x14ac:dyDescent="0.25">
      <c r="A7582" s="4" t="str">
        <f>CONCATENATE("3071-0000-6801","")</f>
        <v>3071-0000-6801</v>
      </c>
      <c r="B7582" s="4" t="s">
        <v>8254</v>
      </c>
      <c r="C7582" s="5">
        <v>41489</v>
      </c>
      <c r="D7582" s="5">
        <v>41549</v>
      </c>
      <c r="E7582" s="4" t="s">
        <v>1410</v>
      </c>
      <c r="F7582" s="4" t="s">
        <v>8192</v>
      </c>
    </row>
    <row r="7583" spans="1:6" x14ac:dyDescent="0.25">
      <c r="A7583" s="4" t="str">
        <f>CONCATENATE("3071-0000-4772","")</f>
        <v>3071-0000-4772</v>
      </c>
      <c r="B7583" s="4" t="s">
        <v>9021</v>
      </c>
      <c r="C7583" s="5">
        <v>41489</v>
      </c>
      <c r="D7583" s="5">
        <v>41549</v>
      </c>
      <c r="E7583" s="4" t="s">
        <v>1410</v>
      </c>
      <c r="F7583" s="4" t="s">
        <v>8696</v>
      </c>
    </row>
    <row r="7584" spans="1:6" x14ac:dyDescent="0.25">
      <c r="A7584" s="4" t="str">
        <f>CONCATENATE("3071-0000-3007","")</f>
        <v>3071-0000-3007</v>
      </c>
      <c r="B7584" s="4" t="s">
        <v>877</v>
      </c>
      <c r="C7584" s="5">
        <v>41489</v>
      </c>
      <c r="D7584" s="5">
        <v>41549</v>
      </c>
      <c r="E7584" s="4" t="s">
        <v>7</v>
      </c>
      <c r="F7584" s="4" t="s">
        <v>808</v>
      </c>
    </row>
    <row r="7585" spans="1:6" x14ac:dyDescent="0.25">
      <c r="A7585" s="4" t="str">
        <f>CONCATENATE("3071-0000-7571","")</f>
        <v>3071-0000-7571</v>
      </c>
      <c r="B7585" s="4" t="s">
        <v>4757</v>
      </c>
      <c r="C7585" s="5">
        <v>41489</v>
      </c>
      <c r="D7585" s="5">
        <v>41549</v>
      </c>
      <c r="E7585" s="4" t="s">
        <v>1410</v>
      </c>
      <c r="F7585" s="4" t="s">
        <v>4655</v>
      </c>
    </row>
    <row r="7586" spans="1:6" x14ac:dyDescent="0.25">
      <c r="A7586" s="4" t="str">
        <f>CONCATENATE("3071-0000-6939","")</f>
        <v>3071-0000-6939</v>
      </c>
      <c r="B7586" s="4" t="s">
        <v>4549</v>
      </c>
      <c r="C7586" s="5">
        <v>41489</v>
      </c>
      <c r="D7586" s="5">
        <v>41549</v>
      </c>
      <c r="E7586" s="4" t="s">
        <v>1410</v>
      </c>
      <c r="F7586" s="4" t="s">
        <v>1410</v>
      </c>
    </row>
    <row r="7587" spans="1:6" x14ac:dyDescent="0.25">
      <c r="A7587" s="4" t="str">
        <f>CONCATENATE("3071-0000-5576","")</f>
        <v>3071-0000-5576</v>
      </c>
      <c r="B7587" s="4" t="s">
        <v>6938</v>
      </c>
      <c r="C7587" s="5">
        <v>41489</v>
      </c>
      <c r="D7587" s="5">
        <v>41549</v>
      </c>
      <c r="E7587" s="4" t="s">
        <v>5185</v>
      </c>
      <c r="F7587" s="4" t="s">
        <v>5185</v>
      </c>
    </row>
    <row r="7588" spans="1:6" x14ac:dyDescent="0.25">
      <c r="A7588" s="4" t="str">
        <f>CONCATENATE("3071-0000-9592","")</f>
        <v>3071-0000-9592</v>
      </c>
      <c r="B7588" s="4" t="s">
        <v>8424</v>
      </c>
      <c r="C7588" s="5">
        <v>41489</v>
      </c>
      <c r="D7588" s="5">
        <v>41549</v>
      </c>
      <c r="E7588" s="4" t="s">
        <v>1410</v>
      </c>
      <c r="F7588" s="4" t="s">
        <v>4459</v>
      </c>
    </row>
    <row r="7589" spans="1:6" x14ac:dyDescent="0.25">
      <c r="A7589" s="4" t="str">
        <f>CONCATENATE("3071-0000-7002","")</f>
        <v>3071-0000-7002</v>
      </c>
      <c r="B7589" s="4" t="s">
        <v>4343</v>
      </c>
      <c r="C7589" s="5">
        <v>41489</v>
      </c>
      <c r="D7589" s="5">
        <v>41549</v>
      </c>
      <c r="E7589" s="4" t="s">
        <v>1410</v>
      </c>
      <c r="F7589" s="4" t="s">
        <v>1410</v>
      </c>
    </row>
    <row r="7590" spans="1:6" x14ac:dyDescent="0.25">
      <c r="A7590" s="4" t="str">
        <f>CONCATENATE("3071-0000-9491","")</f>
        <v>3071-0000-9491</v>
      </c>
      <c r="B7590" s="4" t="s">
        <v>8580</v>
      </c>
      <c r="C7590" s="5">
        <v>41489</v>
      </c>
      <c r="D7590" s="5">
        <v>41549</v>
      </c>
      <c r="E7590" s="4" t="s">
        <v>1410</v>
      </c>
      <c r="F7590" s="4" t="s">
        <v>4459</v>
      </c>
    </row>
    <row r="7591" spans="1:6" x14ac:dyDescent="0.25">
      <c r="A7591" s="4" t="str">
        <f>CONCATENATE("3071-0000-9480","")</f>
        <v>3071-0000-9480</v>
      </c>
      <c r="B7591" s="4" t="s">
        <v>8591</v>
      </c>
      <c r="C7591" s="5">
        <v>41489</v>
      </c>
      <c r="D7591" s="5">
        <v>41549</v>
      </c>
      <c r="E7591" s="4" t="s">
        <v>1410</v>
      </c>
      <c r="F7591" s="4" t="s">
        <v>4459</v>
      </c>
    </row>
    <row r="7592" spans="1:6" x14ac:dyDescent="0.25">
      <c r="A7592" s="4" t="str">
        <f>CONCATENATE("3071-0000-6748","")</f>
        <v>3071-0000-6748</v>
      </c>
      <c r="B7592" s="4" t="s">
        <v>8021</v>
      </c>
      <c r="C7592" s="5">
        <v>41489</v>
      </c>
      <c r="D7592" s="5">
        <v>41549</v>
      </c>
      <c r="E7592" s="4" t="s">
        <v>5185</v>
      </c>
      <c r="F7592" s="4" t="s">
        <v>5185</v>
      </c>
    </row>
    <row r="7593" spans="1:6" x14ac:dyDescent="0.25">
      <c r="A7593" s="4" t="str">
        <f>CONCATENATE("3071-0000-7015","")</f>
        <v>3071-0000-7015</v>
      </c>
      <c r="B7593" s="4" t="s">
        <v>4657</v>
      </c>
      <c r="C7593" s="5">
        <v>41489</v>
      </c>
      <c r="D7593" s="5">
        <v>41549</v>
      </c>
      <c r="E7593" s="4" t="s">
        <v>1410</v>
      </c>
      <c r="F7593" s="4" t="s">
        <v>1410</v>
      </c>
    </row>
    <row r="7594" spans="1:6" x14ac:dyDescent="0.25">
      <c r="A7594" s="4" t="str">
        <f>CONCATENATE("3071-0000-7572","")</f>
        <v>3071-0000-7572</v>
      </c>
      <c r="B7594" s="4" t="s">
        <v>4723</v>
      </c>
      <c r="C7594" s="5">
        <v>41489</v>
      </c>
      <c r="D7594" s="5">
        <v>41549</v>
      </c>
      <c r="E7594" s="4" t="s">
        <v>1410</v>
      </c>
      <c r="F7594" s="4" t="s">
        <v>4655</v>
      </c>
    </row>
    <row r="7595" spans="1:6" x14ac:dyDescent="0.25">
      <c r="A7595" s="4" t="str">
        <f>CONCATENATE("3071-0000-2941","")</f>
        <v>3071-0000-2941</v>
      </c>
      <c r="B7595" s="4" t="s">
        <v>1298</v>
      </c>
      <c r="C7595" s="5">
        <v>41489</v>
      </c>
      <c r="D7595" s="5">
        <v>41549</v>
      </c>
      <c r="E7595" s="4" t="s">
        <v>7</v>
      </c>
      <c r="F7595" s="4" t="s">
        <v>808</v>
      </c>
    </row>
    <row r="7596" spans="1:6" x14ac:dyDescent="0.25">
      <c r="A7596" s="4" t="str">
        <f>CONCATENATE("3071-0000-0648","")</f>
        <v>3071-0000-0648</v>
      </c>
      <c r="B7596" s="4" t="s">
        <v>60</v>
      </c>
      <c r="C7596" s="5">
        <v>41489</v>
      </c>
      <c r="D7596" s="5">
        <v>41549</v>
      </c>
      <c r="E7596" s="4" t="s">
        <v>7</v>
      </c>
      <c r="F7596" s="4" t="s">
        <v>7</v>
      </c>
    </row>
    <row r="7597" spans="1:6" x14ac:dyDescent="0.25">
      <c r="A7597" s="4" t="str">
        <f>CONCATENATE("3071-0000-5620","")</f>
        <v>3071-0000-5620</v>
      </c>
      <c r="B7597" s="4" t="s">
        <v>7199</v>
      </c>
      <c r="C7597" s="5">
        <v>41489</v>
      </c>
      <c r="D7597" s="5">
        <v>41549</v>
      </c>
      <c r="E7597" s="4" t="s">
        <v>5185</v>
      </c>
      <c r="F7597" s="4" t="s">
        <v>5185</v>
      </c>
    </row>
    <row r="7598" spans="1:6" x14ac:dyDescent="0.25">
      <c r="A7598" s="4" t="str">
        <f>CONCATENATE("3071-0000-9309","")</f>
        <v>3071-0000-9309</v>
      </c>
      <c r="B7598" s="4" t="s">
        <v>8367</v>
      </c>
      <c r="C7598" s="5">
        <v>41489</v>
      </c>
      <c r="D7598" s="5">
        <v>41549</v>
      </c>
      <c r="E7598" s="4" t="s">
        <v>5185</v>
      </c>
      <c r="F7598" s="4" t="s">
        <v>5185</v>
      </c>
    </row>
    <row r="7599" spans="1:6" x14ac:dyDescent="0.25">
      <c r="A7599" s="4" t="str">
        <f>CONCATENATE("3071-0000-7730","")</f>
        <v>3071-0000-7730</v>
      </c>
      <c r="B7599" s="4" t="s">
        <v>4357</v>
      </c>
      <c r="C7599" s="5">
        <v>41489</v>
      </c>
      <c r="D7599" s="5">
        <v>41549</v>
      </c>
      <c r="E7599" s="4" t="s">
        <v>1410</v>
      </c>
      <c r="F7599" s="4" t="s">
        <v>1410</v>
      </c>
    </row>
    <row r="7600" spans="1:6" x14ac:dyDescent="0.25">
      <c r="A7600" s="4" t="str">
        <f>CONCATENATE("3071-0000-7795","")</f>
        <v>3071-0000-7795</v>
      </c>
      <c r="B7600" s="4" t="s">
        <v>5201</v>
      </c>
      <c r="C7600" s="5">
        <v>41489</v>
      </c>
      <c r="D7600" s="5">
        <v>41549</v>
      </c>
      <c r="E7600" s="4" t="s">
        <v>5185</v>
      </c>
      <c r="F7600" s="4" t="s">
        <v>5185</v>
      </c>
    </row>
    <row r="7601" spans="1:6" x14ac:dyDescent="0.25">
      <c r="A7601" s="4" t="str">
        <f>CONCATENATE("3071-0000-9483","")</f>
        <v>3071-0000-9483</v>
      </c>
      <c r="B7601" s="4" t="s">
        <v>8565</v>
      </c>
      <c r="C7601" s="5">
        <v>41489</v>
      </c>
      <c r="D7601" s="5">
        <v>41549</v>
      </c>
      <c r="E7601" s="4" t="s">
        <v>1410</v>
      </c>
      <c r="F7601" s="4" t="s">
        <v>4459</v>
      </c>
    </row>
    <row r="7602" spans="1:6" x14ac:dyDescent="0.25">
      <c r="A7602" s="4" t="str">
        <f>CONCATENATE("3071-0000-7588","")</f>
        <v>3071-0000-7588</v>
      </c>
      <c r="B7602" s="4" t="s">
        <v>4548</v>
      </c>
      <c r="C7602" s="5">
        <v>41489</v>
      </c>
      <c r="D7602" s="5">
        <v>41549</v>
      </c>
      <c r="E7602" s="4" t="s">
        <v>1410</v>
      </c>
      <c r="F7602" s="4" t="s">
        <v>1410</v>
      </c>
    </row>
    <row r="7603" spans="1:6" x14ac:dyDescent="0.25">
      <c r="A7603" s="4" t="str">
        <f>CONCATENATE("3071-0000-0409","")</f>
        <v>3071-0000-0409</v>
      </c>
      <c r="B7603" s="4" t="s">
        <v>304</v>
      </c>
      <c r="C7603" s="5">
        <v>41489</v>
      </c>
      <c r="D7603" s="5">
        <v>41549</v>
      </c>
      <c r="E7603" s="4" t="s">
        <v>7</v>
      </c>
      <c r="F7603" s="4" t="s">
        <v>7</v>
      </c>
    </row>
    <row r="7604" spans="1:6" x14ac:dyDescent="0.25">
      <c r="A7604" s="4" t="str">
        <f>CONCATENATE("3071-0000-9303","")</f>
        <v>3071-0000-9303</v>
      </c>
      <c r="B7604" s="4" t="s">
        <v>8361</v>
      </c>
      <c r="C7604" s="5">
        <v>41489</v>
      </c>
      <c r="D7604" s="5">
        <v>41549</v>
      </c>
      <c r="E7604" s="4" t="s">
        <v>5185</v>
      </c>
      <c r="F7604" s="4" t="s">
        <v>5185</v>
      </c>
    </row>
    <row r="7605" spans="1:6" x14ac:dyDescent="0.25">
      <c r="A7605" s="4" t="str">
        <f>CONCATENATE("3071-0000-7063","")</f>
        <v>3071-0000-7063</v>
      </c>
      <c r="B7605" s="4" t="s">
        <v>4847</v>
      </c>
      <c r="C7605" s="5">
        <v>41489</v>
      </c>
      <c r="D7605" s="5">
        <v>41549</v>
      </c>
      <c r="E7605" s="4" t="s">
        <v>1410</v>
      </c>
      <c r="F7605" s="4" t="s">
        <v>1410</v>
      </c>
    </row>
    <row r="7606" spans="1:6" x14ac:dyDescent="0.25">
      <c r="A7606" s="4" t="str">
        <f>CONCATENATE("3071-0000-7082","")</f>
        <v>3071-0000-7082</v>
      </c>
      <c r="B7606" s="4" t="s">
        <v>4765</v>
      </c>
      <c r="C7606" s="5">
        <v>41489</v>
      </c>
      <c r="D7606" s="5">
        <v>41549</v>
      </c>
      <c r="E7606" s="4" t="s">
        <v>1410</v>
      </c>
      <c r="F7606" s="4" t="s">
        <v>4655</v>
      </c>
    </row>
    <row r="7607" spans="1:6" x14ac:dyDescent="0.25">
      <c r="A7607" s="4" t="str">
        <f>CONCATENATE("3071-0000-8607","")</f>
        <v>3071-0000-8607</v>
      </c>
      <c r="B7607" s="4" t="s">
        <v>6094</v>
      </c>
      <c r="C7607" s="5">
        <v>41489</v>
      </c>
      <c r="D7607" s="5">
        <v>41549</v>
      </c>
      <c r="E7607" s="4" t="s">
        <v>5185</v>
      </c>
      <c r="F7607" s="4" t="s">
        <v>5945</v>
      </c>
    </row>
    <row r="7608" spans="1:6" x14ac:dyDescent="0.25">
      <c r="A7608" s="4" t="str">
        <f>CONCATENATE("3071-0000-6617","")</f>
        <v>3071-0000-6617</v>
      </c>
      <c r="B7608" s="4" t="s">
        <v>8215</v>
      </c>
      <c r="C7608" s="5">
        <v>41489</v>
      </c>
      <c r="D7608" s="5">
        <v>41549</v>
      </c>
      <c r="E7608" s="4" t="s">
        <v>5185</v>
      </c>
      <c r="F7608" s="4" t="s">
        <v>5185</v>
      </c>
    </row>
    <row r="7609" spans="1:6" x14ac:dyDescent="0.25">
      <c r="A7609" s="4" t="str">
        <f>CONCATENATE("3071-0000-7298","")</f>
        <v>3071-0000-7298</v>
      </c>
      <c r="B7609" s="4" t="s">
        <v>4269</v>
      </c>
      <c r="C7609" s="5">
        <v>41489</v>
      </c>
      <c r="D7609" s="5">
        <v>41549</v>
      </c>
      <c r="E7609" s="4" t="s">
        <v>1410</v>
      </c>
      <c r="F7609" s="4" t="s">
        <v>1410</v>
      </c>
    </row>
    <row r="7610" spans="1:6" x14ac:dyDescent="0.25">
      <c r="A7610" s="4" t="str">
        <f>CONCATENATE("3071-0000-3871","")</f>
        <v>3071-0000-3871</v>
      </c>
      <c r="B7610" s="4" t="s">
        <v>4020</v>
      </c>
      <c r="C7610" s="5">
        <v>41489</v>
      </c>
      <c r="D7610" s="5">
        <v>41549</v>
      </c>
      <c r="E7610" s="4" t="s">
        <v>1381</v>
      </c>
      <c r="F7610" s="4" t="s">
        <v>3994</v>
      </c>
    </row>
    <row r="7611" spans="1:6" x14ac:dyDescent="0.25">
      <c r="A7611" s="4" t="str">
        <f>CONCATENATE("3071-0000-0722","")</f>
        <v>3071-0000-0722</v>
      </c>
      <c r="B7611" s="4" t="s">
        <v>569</v>
      </c>
      <c r="C7611" s="5">
        <v>41489</v>
      </c>
      <c r="D7611" s="5">
        <v>41549</v>
      </c>
      <c r="E7611" s="4" t="s">
        <v>7</v>
      </c>
      <c r="F7611" s="4" t="s">
        <v>273</v>
      </c>
    </row>
    <row r="7612" spans="1:6" x14ac:dyDescent="0.25">
      <c r="A7612" s="4" t="str">
        <f>CONCATENATE("3071-0000-4744","")</f>
        <v>3071-0000-4744</v>
      </c>
      <c r="B7612" s="4" t="s">
        <v>9654</v>
      </c>
      <c r="C7612" s="5">
        <v>41489</v>
      </c>
      <c r="D7612" s="5">
        <v>41549</v>
      </c>
      <c r="E7612" s="4" t="s">
        <v>1410</v>
      </c>
      <c r="F7612" s="4" t="s">
        <v>8696</v>
      </c>
    </row>
    <row r="7613" spans="1:6" x14ac:dyDescent="0.25">
      <c r="A7613" s="4" t="str">
        <f>CONCATENATE("3071-0000-4775","")</f>
        <v>3071-0000-4775</v>
      </c>
      <c r="B7613" s="4" t="s">
        <v>9026</v>
      </c>
      <c r="C7613" s="5">
        <v>41489</v>
      </c>
      <c r="D7613" s="5">
        <v>41549</v>
      </c>
      <c r="E7613" s="4" t="s">
        <v>1410</v>
      </c>
      <c r="F7613" s="4" t="s">
        <v>8696</v>
      </c>
    </row>
    <row r="7614" spans="1:6" x14ac:dyDescent="0.25">
      <c r="A7614" s="4" t="str">
        <f>CONCATENATE("3071-0000-7476","")</f>
        <v>3071-0000-7476</v>
      </c>
      <c r="B7614" s="4" t="s">
        <v>4279</v>
      </c>
      <c r="C7614" s="5">
        <v>41489</v>
      </c>
      <c r="D7614" s="5">
        <v>41549</v>
      </c>
      <c r="E7614" s="4" t="s">
        <v>1410</v>
      </c>
      <c r="F7614" s="4" t="s">
        <v>1410</v>
      </c>
    </row>
    <row r="7615" spans="1:6" x14ac:dyDescent="0.25">
      <c r="A7615" s="4" t="str">
        <f>CONCATENATE("3071-0000-4430","")</f>
        <v>3071-0000-4430</v>
      </c>
      <c r="B7615" s="4" t="s">
        <v>9301</v>
      </c>
      <c r="C7615" s="5">
        <v>41489</v>
      </c>
      <c r="D7615" s="5">
        <v>41549</v>
      </c>
      <c r="E7615" s="4" t="s">
        <v>1410</v>
      </c>
      <c r="F7615" s="4" t="s">
        <v>8696</v>
      </c>
    </row>
    <row r="7616" spans="1:6" x14ac:dyDescent="0.25">
      <c r="A7616" s="4" t="str">
        <f>CONCATENATE("3071-0000-8097","")</f>
        <v>3071-0000-8097</v>
      </c>
      <c r="B7616" s="4" t="s">
        <v>5888</v>
      </c>
      <c r="C7616" s="5">
        <v>41489</v>
      </c>
      <c r="D7616" s="5">
        <v>41549</v>
      </c>
      <c r="E7616" s="4" t="s">
        <v>5185</v>
      </c>
      <c r="F7616" s="4" t="s">
        <v>5185</v>
      </c>
    </row>
    <row r="7617" spans="1:6" x14ac:dyDescent="0.25">
      <c r="A7617" s="4" t="str">
        <f>CONCATENATE("3071-0000-5484","")</f>
        <v>3071-0000-5484</v>
      </c>
      <c r="B7617" s="4" t="s">
        <v>6636</v>
      </c>
      <c r="C7617" s="5">
        <v>41489</v>
      </c>
      <c r="D7617" s="5">
        <v>41549</v>
      </c>
      <c r="E7617" s="4" t="s">
        <v>1410</v>
      </c>
      <c r="F7617" s="4" t="s">
        <v>6635</v>
      </c>
    </row>
    <row r="7618" spans="1:6" x14ac:dyDescent="0.25">
      <c r="A7618" s="4" t="str">
        <f>CONCATENATE("3071-0000-5284","")</f>
        <v>3071-0000-5284</v>
      </c>
      <c r="B7618" s="4" t="s">
        <v>6765</v>
      </c>
      <c r="C7618" s="5">
        <v>41489</v>
      </c>
      <c r="D7618" s="5">
        <v>41549</v>
      </c>
      <c r="E7618" s="4" t="s">
        <v>5185</v>
      </c>
      <c r="F7618" s="4" t="s">
        <v>5185</v>
      </c>
    </row>
    <row r="7619" spans="1:6" x14ac:dyDescent="0.25">
      <c r="A7619" s="4" t="str">
        <f>CONCATENATE("3071-0000-8347","")</f>
        <v>3071-0000-8347</v>
      </c>
      <c r="B7619" s="4" t="s">
        <v>5854</v>
      </c>
      <c r="C7619" s="5">
        <v>41489</v>
      </c>
      <c r="D7619" s="5">
        <v>41549</v>
      </c>
      <c r="E7619" s="4" t="s">
        <v>5185</v>
      </c>
      <c r="F7619" s="4" t="s">
        <v>5185</v>
      </c>
    </row>
    <row r="7620" spans="1:6" x14ac:dyDescent="0.25">
      <c r="A7620" s="4" t="str">
        <f>CONCATENATE("3071-0000-8268","")</f>
        <v>3071-0000-8268</v>
      </c>
      <c r="B7620" s="4" t="s">
        <v>6206</v>
      </c>
      <c r="C7620" s="5">
        <v>41489</v>
      </c>
      <c r="D7620" s="5">
        <v>41549</v>
      </c>
      <c r="E7620" s="4" t="s">
        <v>5185</v>
      </c>
      <c r="F7620" s="4" t="s">
        <v>5185</v>
      </c>
    </row>
    <row r="7621" spans="1:6" x14ac:dyDescent="0.25">
      <c r="A7621" s="4" t="str">
        <f>CONCATENATE("3071-0000-7154","")</f>
        <v>3071-0000-7154</v>
      </c>
      <c r="B7621" s="4" t="s">
        <v>5002</v>
      </c>
      <c r="C7621" s="5">
        <v>41489</v>
      </c>
      <c r="D7621" s="5">
        <v>41549</v>
      </c>
      <c r="E7621" s="4" t="s">
        <v>1410</v>
      </c>
      <c r="F7621" s="4" t="s">
        <v>1410</v>
      </c>
    </row>
    <row r="7622" spans="1:6" x14ac:dyDescent="0.25">
      <c r="A7622" s="4" t="str">
        <f>CONCATENATE("3071-0000-7280","")</f>
        <v>3071-0000-7280</v>
      </c>
      <c r="B7622" s="4" t="s">
        <v>5136</v>
      </c>
      <c r="C7622" s="5">
        <v>41489</v>
      </c>
      <c r="D7622" s="5">
        <v>41549</v>
      </c>
      <c r="E7622" s="4" t="s">
        <v>1410</v>
      </c>
      <c r="F7622" s="4" t="s">
        <v>1410</v>
      </c>
    </row>
    <row r="7623" spans="1:6" x14ac:dyDescent="0.25">
      <c r="A7623" s="4" t="str">
        <f>CONCATENATE("3071-0000-0005","")</f>
        <v>3071-0000-0005</v>
      </c>
      <c r="B7623" s="4" t="s">
        <v>11</v>
      </c>
      <c r="C7623" s="5">
        <v>41489</v>
      </c>
      <c r="D7623" s="5">
        <v>41549</v>
      </c>
      <c r="E7623" s="4" t="s">
        <v>7</v>
      </c>
      <c r="F7623" s="4" t="s">
        <v>7</v>
      </c>
    </row>
    <row r="7624" spans="1:6" x14ac:dyDescent="0.25">
      <c r="A7624" s="4" t="str">
        <f>CONCATENATE("3071-0000-6481","")</f>
        <v>3071-0000-6481</v>
      </c>
      <c r="B7624" s="4" t="s">
        <v>7778</v>
      </c>
      <c r="C7624" s="5">
        <v>41489</v>
      </c>
      <c r="D7624" s="5">
        <v>41549</v>
      </c>
      <c r="E7624" s="4" t="s">
        <v>5185</v>
      </c>
      <c r="F7624" s="4" t="s">
        <v>5185</v>
      </c>
    </row>
    <row r="7625" spans="1:6" x14ac:dyDescent="0.25">
      <c r="A7625" s="4" t="str">
        <f>CONCATENATE("3071-0000-8151","")</f>
        <v>3071-0000-8151</v>
      </c>
      <c r="B7625" s="4" t="s">
        <v>5403</v>
      </c>
      <c r="C7625" s="5">
        <v>41489</v>
      </c>
      <c r="D7625" s="5">
        <v>41549</v>
      </c>
      <c r="E7625" s="4" t="s">
        <v>5185</v>
      </c>
      <c r="F7625" s="4" t="s">
        <v>5185</v>
      </c>
    </row>
    <row r="7626" spans="1:6" x14ac:dyDescent="0.25">
      <c r="A7626" s="4" t="str">
        <f>CONCATENATE("3071-0000-4658","")</f>
        <v>3071-0000-4658</v>
      </c>
      <c r="B7626" s="4" t="s">
        <v>9152</v>
      </c>
      <c r="C7626" s="5">
        <v>41489</v>
      </c>
      <c r="D7626" s="5">
        <v>41549</v>
      </c>
      <c r="E7626" s="4" t="s">
        <v>1410</v>
      </c>
      <c r="F7626" s="4" t="s">
        <v>8696</v>
      </c>
    </row>
    <row r="7627" spans="1:6" x14ac:dyDescent="0.25">
      <c r="A7627" s="4" t="str">
        <f>CONCATENATE("3071-0000-4354","")</f>
        <v>3071-0000-4354</v>
      </c>
      <c r="B7627" s="4" t="s">
        <v>9055</v>
      </c>
      <c r="C7627" s="5">
        <v>41489</v>
      </c>
      <c r="D7627" s="5">
        <v>41549</v>
      </c>
      <c r="E7627" s="4" t="s">
        <v>1410</v>
      </c>
      <c r="F7627" s="4" t="s">
        <v>8696</v>
      </c>
    </row>
    <row r="7628" spans="1:6" x14ac:dyDescent="0.25">
      <c r="A7628" s="4" t="str">
        <f>CONCATENATE("3071-0000-5493","")</f>
        <v>3071-0000-5493</v>
      </c>
      <c r="B7628" s="4" t="s">
        <v>6655</v>
      </c>
      <c r="C7628" s="5">
        <v>41489</v>
      </c>
      <c r="D7628" s="5">
        <v>41549</v>
      </c>
      <c r="E7628" s="4" t="s">
        <v>1410</v>
      </c>
      <c r="F7628" s="4" t="s">
        <v>6635</v>
      </c>
    </row>
    <row r="7629" spans="1:6" x14ac:dyDescent="0.25">
      <c r="A7629" s="4" t="str">
        <f>CONCATENATE("3071-0000-6245","")</f>
        <v>3071-0000-6245</v>
      </c>
      <c r="B7629" s="4" t="s">
        <v>7215</v>
      </c>
      <c r="C7629" s="5">
        <v>41489</v>
      </c>
      <c r="D7629" s="5">
        <v>41549</v>
      </c>
      <c r="E7629" s="4" t="s">
        <v>7069</v>
      </c>
      <c r="F7629" s="4" t="s">
        <v>7183</v>
      </c>
    </row>
    <row r="7630" spans="1:6" x14ac:dyDescent="0.25">
      <c r="A7630" s="4" t="str">
        <f>CONCATENATE("3071-0000-9163","")</f>
        <v>3071-0000-9163</v>
      </c>
      <c r="B7630" s="4" t="s">
        <v>6173</v>
      </c>
      <c r="C7630" s="5">
        <v>41489</v>
      </c>
      <c r="D7630" s="5">
        <v>41549</v>
      </c>
      <c r="E7630" s="4" t="s">
        <v>5185</v>
      </c>
      <c r="F7630" s="4" t="s">
        <v>5945</v>
      </c>
    </row>
    <row r="7631" spans="1:6" x14ac:dyDescent="0.25">
      <c r="A7631" s="4" t="str">
        <f>CONCATENATE("3071-0000-8110","")</f>
        <v>3071-0000-8110</v>
      </c>
      <c r="B7631" s="4" t="s">
        <v>6022</v>
      </c>
      <c r="C7631" s="5">
        <v>41489</v>
      </c>
      <c r="D7631" s="5">
        <v>41549</v>
      </c>
      <c r="E7631" s="4" t="s">
        <v>5185</v>
      </c>
      <c r="F7631" s="4" t="s">
        <v>5185</v>
      </c>
    </row>
    <row r="7632" spans="1:6" x14ac:dyDescent="0.25">
      <c r="A7632" s="4" t="str">
        <f>CONCATENATE("3071-0000-7620","")</f>
        <v>3071-0000-7620</v>
      </c>
      <c r="B7632" s="4" t="s">
        <v>5150</v>
      </c>
      <c r="C7632" s="5">
        <v>41489</v>
      </c>
      <c r="D7632" s="5">
        <v>41549</v>
      </c>
      <c r="E7632" s="4" t="s">
        <v>1410</v>
      </c>
      <c r="F7632" s="4" t="s">
        <v>4616</v>
      </c>
    </row>
    <row r="7633" spans="1:6" x14ac:dyDescent="0.25">
      <c r="A7633" s="4" t="str">
        <f>CONCATENATE("3071-0000-5655","")</f>
        <v>3071-0000-5655</v>
      </c>
      <c r="B7633" s="4" t="s">
        <v>7281</v>
      </c>
      <c r="C7633" s="5">
        <v>41489</v>
      </c>
      <c r="D7633" s="5">
        <v>41549</v>
      </c>
      <c r="E7633" s="4" t="s">
        <v>5185</v>
      </c>
      <c r="F7633" s="4" t="s">
        <v>5185</v>
      </c>
    </row>
    <row r="7634" spans="1:6" x14ac:dyDescent="0.25">
      <c r="A7634" s="4" t="str">
        <f>CONCATENATE("3071-0000-3231","")</f>
        <v>3071-0000-3231</v>
      </c>
      <c r="B7634" s="4" t="s">
        <v>848</v>
      </c>
      <c r="C7634" s="5">
        <v>41489</v>
      </c>
      <c r="D7634" s="5">
        <v>41549</v>
      </c>
      <c r="E7634" s="4" t="s">
        <v>7</v>
      </c>
      <c r="F7634" s="4" t="s">
        <v>808</v>
      </c>
    </row>
    <row r="7635" spans="1:6" x14ac:dyDescent="0.25">
      <c r="A7635" s="4" t="str">
        <f>CONCATENATE("3071-0000-2765","")</f>
        <v>3071-0000-2765</v>
      </c>
      <c r="B7635" s="4" t="s">
        <v>861</v>
      </c>
      <c r="C7635" s="5">
        <v>41489</v>
      </c>
      <c r="D7635" s="5">
        <v>41549</v>
      </c>
      <c r="E7635" s="4" t="s">
        <v>7</v>
      </c>
      <c r="F7635" s="4" t="s">
        <v>808</v>
      </c>
    </row>
    <row r="7636" spans="1:6" x14ac:dyDescent="0.25">
      <c r="A7636" s="4" t="str">
        <f>CONCATENATE("3071-0000-0997","")</f>
        <v>3071-0000-0997</v>
      </c>
      <c r="B7636" s="4" t="s">
        <v>2216</v>
      </c>
      <c r="C7636" s="5">
        <v>41489</v>
      </c>
      <c r="D7636" s="5">
        <v>41549</v>
      </c>
      <c r="E7636" s="4" t="s">
        <v>1381</v>
      </c>
      <c r="F7636" s="4" t="s">
        <v>2215</v>
      </c>
    </row>
    <row r="7637" spans="1:6" x14ac:dyDescent="0.25">
      <c r="A7637" s="4" t="str">
        <f>CONCATENATE("3071-0000-2460","")</f>
        <v>3071-0000-2460</v>
      </c>
      <c r="B7637" s="4" t="s">
        <v>3012</v>
      </c>
      <c r="C7637" s="5">
        <v>41489</v>
      </c>
      <c r="D7637" s="5">
        <v>41549</v>
      </c>
      <c r="E7637" s="4" t="s">
        <v>2944</v>
      </c>
      <c r="F7637" s="4" t="s">
        <v>2945</v>
      </c>
    </row>
    <row r="7638" spans="1:6" x14ac:dyDescent="0.25">
      <c r="A7638" s="4" t="str">
        <f>CONCATENATE("3071-0000-8317","")</f>
        <v>3071-0000-8317</v>
      </c>
      <c r="B7638" s="4" t="s">
        <v>5603</v>
      </c>
      <c r="C7638" s="5">
        <v>41489</v>
      </c>
      <c r="D7638" s="5">
        <v>41549</v>
      </c>
      <c r="E7638" s="4" t="s">
        <v>5185</v>
      </c>
      <c r="F7638" s="4" t="s">
        <v>5185</v>
      </c>
    </row>
    <row r="7639" spans="1:6" x14ac:dyDescent="0.25">
      <c r="A7639" s="4" t="str">
        <f>CONCATENATE("3071-0000-4187","")</f>
        <v>3071-0000-4187</v>
      </c>
      <c r="B7639" s="4" t="s">
        <v>3935</v>
      </c>
      <c r="C7639" s="5">
        <v>41489</v>
      </c>
      <c r="D7639" s="5">
        <v>41549</v>
      </c>
      <c r="E7639" s="4" t="s">
        <v>7</v>
      </c>
      <c r="F7639" s="4" t="s">
        <v>1419</v>
      </c>
    </row>
    <row r="7640" spans="1:6" x14ac:dyDescent="0.25">
      <c r="A7640" s="4" t="str">
        <f>CONCATENATE("3071-0000-0609","")</f>
        <v>3071-0000-0609</v>
      </c>
      <c r="B7640" s="4" t="s">
        <v>301</v>
      </c>
      <c r="C7640" s="5">
        <v>41489</v>
      </c>
      <c r="D7640" s="5">
        <v>41549</v>
      </c>
      <c r="E7640" s="4" t="s">
        <v>7</v>
      </c>
      <c r="F7640" s="4" t="s">
        <v>273</v>
      </c>
    </row>
    <row r="7641" spans="1:6" x14ac:dyDescent="0.25">
      <c r="A7641" s="4" t="str">
        <f>CONCATENATE("3071-0000-4064","")</f>
        <v>3071-0000-4064</v>
      </c>
      <c r="B7641" s="4" t="s">
        <v>3961</v>
      </c>
      <c r="C7641" s="5">
        <v>41489</v>
      </c>
      <c r="D7641" s="5">
        <v>41549</v>
      </c>
      <c r="E7641" s="4" t="s">
        <v>7</v>
      </c>
      <c r="F7641" s="4" t="s">
        <v>1419</v>
      </c>
    </row>
    <row r="7642" spans="1:6" x14ac:dyDescent="0.25">
      <c r="A7642" s="4" t="str">
        <f>CONCATENATE("3071-0000-4197","")</f>
        <v>3071-0000-4197</v>
      </c>
      <c r="B7642" s="4" t="s">
        <v>4208</v>
      </c>
      <c r="C7642" s="5">
        <v>41489</v>
      </c>
      <c r="D7642" s="5">
        <v>41549</v>
      </c>
      <c r="E7642" s="4" t="s">
        <v>7</v>
      </c>
      <c r="F7642" s="4" t="s">
        <v>1419</v>
      </c>
    </row>
    <row r="7643" spans="1:6" x14ac:dyDescent="0.25">
      <c r="A7643" s="4" t="str">
        <f>CONCATENATE("3071-0000-0591","")</f>
        <v>3071-0000-0591</v>
      </c>
      <c r="B7643" s="4" t="s">
        <v>624</v>
      </c>
      <c r="C7643" s="5">
        <v>41489</v>
      </c>
      <c r="D7643" s="5">
        <v>41549</v>
      </c>
      <c r="E7643" s="4" t="s">
        <v>7</v>
      </c>
      <c r="F7643" s="4" t="s">
        <v>7</v>
      </c>
    </row>
    <row r="7644" spans="1:6" x14ac:dyDescent="0.25">
      <c r="A7644" s="4" t="str">
        <f>CONCATENATE("3071-0000-4193","")</f>
        <v>3071-0000-4193</v>
      </c>
      <c r="B7644" s="4" t="s">
        <v>4013</v>
      </c>
      <c r="C7644" s="5">
        <v>41489</v>
      </c>
      <c r="D7644" s="5">
        <v>41549</v>
      </c>
      <c r="E7644" s="4" t="s">
        <v>1381</v>
      </c>
      <c r="F7644" s="4" t="s">
        <v>3994</v>
      </c>
    </row>
    <row r="7645" spans="1:6" x14ac:dyDescent="0.25">
      <c r="A7645" s="4" t="str">
        <f>CONCATENATE("3071-0000-3892","")</f>
        <v>3071-0000-3892</v>
      </c>
      <c r="B7645" s="4" t="s">
        <v>4110</v>
      </c>
      <c r="C7645" s="5">
        <v>41489</v>
      </c>
      <c r="D7645" s="5">
        <v>41549</v>
      </c>
      <c r="E7645" s="4" t="s">
        <v>2944</v>
      </c>
      <c r="F7645" s="4" t="s">
        <v>3513</v>
      </c>
    </row>
    <row r="7646" spans="1:6" x14ac:dyDescent="0.25">
      <c r="A7646" s="4" t="str">
        <f>CONCATENATE("3071-0000-7047","")</f>
        <v>3071-0000-7047</v>
      </c>
      <c r="B7646" s="4" t="s">
        <v>4701</v>
      </c>
      <c r="C7646" s="5">
        <v>41489</v>
      </c>
      <c r="D7646" s="5">
        <v>41549</v>
      </c>
      <c r="E7646" s="4" t="s">
        <v>1410</v>
      </c>
      <c r="F7646" s="4" t="s">
        <v>1410</v>
      </c>
    </row>
    <row r="7647" spans="1:6" x14ac:dyDescent="0.25">
      <c r="A7647" s="4" t="str">
        <f>CONCATENATE("3071-0000-0769","")</f>
        <v>3071-0000-0769</v>
      </c>
      <c r="B7647" s="4" t="s">
        <v>681</v>
      </c>
      <c r="C7647" s="5">
        <v>41489</v>
      </c>
      <c r="D7647" s="5">
        <v>41549</v>
      </c>
      <c r="E7647" s="4" t="s">
        <v>7</v>
      </c>
      <c r="F7647" s="4" t="s">
        <v>7</v>
      </c>
    </row>
    <row r="7648" spans="1:6" x14ac:dyDescent="0.25">
      <c r="A7648" s="4" t="str">
        <f>CONCATENATE("3071-0000-4000","")</f>
        <v>3071-0000-4000</v>
      </c>
      <c r="B7648" s="4" t="s">
        <v>4170</v>
      </c>
      <c r="C7648" s="5">
        <v>41489</v>
      </c>
      <c r="D7648" s="5">
        <v>41549</v>
      </c>
      <c r="E7648" s="4" t="s">
        <v>2944</v>
      </c>
      <c r="F7648" s="4" t="s">
        <v>3513</v>
      </c>
    </row>
    <row r="7649" spans="1:6" x14ac:dyDescent="0.25">
      <c r="A7649" s="4" t="str">
        <f>CONCATENATE("3071-0000-3793","")</f>
        <v>3071-0000-3793</v>
      </c>
      <c r="B7649" s="4" t="s">
        <v>3926</v>
      </c>
      <c r="C7649" s="5">
        <v>41489</v>
      </c>
      <c r="D7649" s="5">
        <v>41549</v>
      </c>
      <c r="E7649" s="4" t="s">
        <v>7</v>
      </c>
      <c r="F7649" s="4" t="s">
        <v>1419</v>
      </c>
    </row>
    <row r="7650" spans="1:6" x14ac:dyDescent="0.25">
      <c r="A7650" s="4" t="str">
        <f>CONCATENATE("3071-0000-4162","")</f>
        <v>3071-0000-4162</v>
      </c>
      <c r="B7650" s="4" t="s">
        <v>4219</v>
      </c>
      <c r="C7650" s="5">
        <v>41489</v>
      </c>
      <c r="D7650" s="5">
        <v>41549</v>
      </c>
      <c r="E7650" s="4" t="s">
        <v>7</v>
      </c>
      <c r="F7650" s="4" t="s">
        <v>1419</v>
      </c>
    </row>
    <row r="7651" spans="1:6" x14ac:dyDescent="0.25">
      <c r="A7651" s="4" t="str">
        <f>CONCATENATE("3071-0000-5215","")</f>
        <v>3071-0000-5215</v>
      </c>
      <c r="B7651" s="4" t="s">
        <v>6651</v>
      </c>
      <c r="C7651" s="5">
        <v>41489</v>
      </c>
      <c r="D7651" s="5">
        <v>41549</v>
      </c>
      <c r="E7651" s="4" t="s">
        <v>1410</v>
      </c>
      <c r="F7651" s="4" t="s">
        <v>6635</v>
      </c>
    </row>
    <row r="7652" spans="1:6" x14ac:dyDescent="0.25">
      <c r="A7652" s="4" t="str">
        <f>CONCATENATE("3071-0000-5244","")</f>
        <v>3071-0000-5244</v>
      </c>
      <c r="B7652" s="4" t="s">
        <v>6701</v>
      </c>
      <c r="C7652" s="5">
        <v>41489</v>
      </c>
      <c r="D7652" s="5">
        <v>41549</v>
      </c>
      <c r="E7652" s="4" t="s">
        <v>5185</v>
      </c>
      <c r="F7652" s="4" t="s">
        <v>5185</v>
      </c>
    </row>
    <row r="7653" spans="1:6" x14ac:dyDescent="0.25">
      <c r="A7653" s="4" t="str">
        <f>CONCATENATE("3071-0000-8649","")</f>
        <v>3071-0000-8649</v>
      </c>
      <c r="B7653" s="4" t="s">
        <v>6411</v>
      </c>
      <c r="C7653" s="5">
        <v>41489</v>
      </c>
      <c r="D7653" s="5">
        <v>41549</v>
      </c>
      <c r="E7653" s="4" t="s">
        <v>5185</v>
      </c>
      <c r="F7653" s="4" t="s">
        <v>5292</v>
      </c>
    </row>
    <row r="7654" spans="1:6" x14ac:dyDescent="0.25">
      <c r="A7654" s="4" t="str">
        <f>CONCATENATE("3071-0000-8719","")</f>
        <v>3071-0000-8719</v>
      </c>
      <c r="B7654" s="4" t="s">
        <v>6359</v>
      </c>
      <c r="C7654" s="5">
        <v>41489</v>
      </c>
      <c r="D7654" s="5">
        <v>41549</v>
      </c>
      <c r="E7654" s="4" t="s">
        <v>5185</v>
      </c>
      <c r="F7654" s="4" t="s">
        <v>5292</v>
      </c>
    </row>
    <row r="7655" spans="1:6" x14ac:dyDescent="0.25">
      <c r="A7655" s="4" t="str">
        <f>CONCATENATE("3071-0000-5064","")</f>
        <v>3071-0000-5064</v>
      </c>
      <c r="B7655" s="4" t="s">
        <v>8833</v>
      </c>
      <c r="C7655" s="5">
        <v>41489</v>
      </c>
      <c r="D7655" s="5">
        <v>41549</v>
      </c>
      <c r="E7655" s="4" t="s">
        <v>1410</v>
      </c>
      <c r="F7655" s="4" t="s">
        <v>5258</v>
      </c>
    </row>
    <row r="7656" spans="1:6" x14ac:dyDescent="0.25">
      <c r="A7656" s="4" t="str">
        <f>CONCATENATE("3071-0000-4911","")</f>
        <v>3071-0000-4911</v>
      </c>
      <c r="B7656" s="4" t="s">
        <v>8785</v>
      </c>
      <c r="C7656" s="5">
        <v>41489</v>
      </c>
      <c r="D7656" s="5">
        <v>41549</v>
      </c>
      <c r="E7656" s="4" t="s">
        <v>7069</v>
      </c>
      <c r="F7656" s="4" t="s">
        <v>8783</v>
      </c>
    </row>
    <row r="7657" spans="1:6" x14ac:dyDescent="0.25">
      <c r="A7657" s="4" t="str">
        <f>CONCATENATE("3071-0000-0012","")</f>
        <v>3071-0000-0012</v>
      </c>
      <c r="B7657" s="4" t="s">
        <v>34</v>
      </c>
      <c r="C7657" s="5">
        <v>41489</v>
      </c>
      <c r="D7657" s="5">
        <v>41549</v>
      </c>
      <c r="E7657" s="4" t="s">
        <v>7</v>
      </c>
      <c r="F7657" s="4" t="s">
        <v>7</v>
      </c>
    </row>
    <row r="7658" spans="1:6" x14ac:dyDescent="0.25">
      <c r="A7658" s="4" t="str">
        <f>CONCATENATE("3071-0000-4252","")</f>
        <v>3071-0000-4252</v>
      </c>
      <c r="B7658" s="4" t="s">
        <v>8820</v>
      </c>
      <c r="C7658" s="5">
        <v>41489</v>
      </c>
      <c r="D7658" s="5">
        <v>41549</v>
      </c>
      <c r="E7658" s="4" t="s">
        <v>1410</v>
      </c>
      <c r="F7658" s="4" t="s">
        <v>8696</v>
      </c>
    </row>
    <row r="7659" spans="1:6" x14ac:dyDescent="0.25">
      <c r="A7659" s="4" t="str">
        <f>CONCATENATE("3071-0000-7340","")</f>
        <v>3071-0000-7340</v>
      </c>
      <c r="B7659" s="4" t="s">
        <v>4606</v>
      </c>
      <c r="C7659" s="5">
        <v>41489</v>
      </c>
      <c r="D7659" s="5">
        <v>41549</v>
      </c>
      <c r="E7659" s="4" t="s">
        <v>1410</v>
      </c>
      <c r="F7659" s="4" t="s">
        <v>1410</v>
      </c>
    </row>
    <row r="7660" spans="1:6" x14ac:dyDescent="0.25">
      <c r="A7660" s="4" t="str">
        <f>CONCATENATE("3071-0000-8158","")</f>
        <v>3071-0000-8158</v>
      </c>
      <c r="B7660" s="4" t="s">
        <v>5409</v>
      </c>
      <c r="C7660" s="5">
        <v>41489</v>
      </c>
      <c r="D7660" s="5">
        <v>41549</v>
      </c>
      <c r="E7660" s="4" t="s">
        <v>5185</v>
      </c>
      <c r="F7660" s="4" t="s">
        <v>5185</v>
      </c>
    </row>
    <row r="7661" spans="1:6" x14ac:dyDescent="0.25">
      <c r="A7661" s="4" t="str">
        <f>CONCATENATE("3071-0000-4942","")</f>
        <v>3071-0000-4942</v>
      </c>
      <c r="B7661" s="4" t="s">
        <v>8784</v>
      </c>
      <c r="C7661" s="5">
        <v>41489</v>
      </c>
      <c r="D7661" s="5">
        <v>41549</v>
      </c>
      <c r="E7661" s="4" t="s">
        <v>1410</v>
      </c>
      <c r="F7661" s="4" t="s">
        <v>8696</v>
      </c>
    </row>
    <row r="7662" spans="1:6" x14ac:dyDescent="0.25">
      <c r="A7662" s="4" t="str">
        <f>CONCATENATE("3071-0000-8633","")</f>
        <v>3071-0000-8633</v>
      </c>
      <c r="B7662" s="4" t="s">
        <v>5719</v>
      </c>
      <c r="C7662" s="5">
        <v>41489</v>
      </c>
      <c r="D7662" s="5">
        <v>41549</v>
      </c>
      <c r="E7662" s="4" t="s">
        <v>5185</v>
      </c>
      <c r="F7662" s="4" t="s">
        <v>5250</v>
      </c>
    </row>
    <row r="7663" spans="1:6" x14ac:dyDescent="0.25">
      <c r="A7663" s="4" t="str">
        <f>CONCATENATE("3071-0000-8160","")</f>
        <v>3071-0000-8160</v>
      </c>
      <c r="B7663" s="4" t="s">
        <v>5412</v>
      </c>
      <c r="C7663" s="5">
        <v>41489</v>
      </c>
      <c r="D7663" s="5">
        <v>41549</v>
      </c>
      <c r="E7663" s="4" t="s">
        <v>5185</v>
      </c>
      <c r="F7663" s="4" t="s">
        <v>5185</v>
      </c>
    </row>
    <row r="7664" spans="1:6" x14ac:dyDescent="0.25">
      <c r="A7664" s="4" t="str">
        <f>CONCATENATE("3071-0000-6722","")</f>
        <v>3071-0000-6722</v>
      </c>
      <c r="B7664" s="4" t="s">
        <v>8166</v>
      </c>
      <c r="C7664" s="5">
        <v>41489</v>
      </c>
      <c r="D7664" s="5">
        <v>41549</v>
      </c>
      <c r="E7664" s="4" t="s">
        <v>5185</v>
      </c>
      <c r="F7664" s="4" t="s">
        <v>5185</v>
      </c>
    </row>
    <row r="7665" spans="1:6" x14ac:dyDescent="0.25">
      <c r="A7665" s="4" t="str">
        <f>CONCATENATE("3071-0000-5531","")</f>
        <v>3071-0000-5531</v>
      </c>
      <c r="B7665" s="4" t="s">
        <v>7393</v>
      </c>
      <c r="C7665" s="5">
        <v>41489</v>
      </c>
      <c r="D7665" s="5">
        <v>41549</v>
      </c>
      <c r="E7665" s="4" t="s">
        <v>5185</v>
      </c>
      <c r="F7665" s="4" t="s">
        <v>5185</v>
      </c>
    </row>
    <row r="7666" spans="1:6" x14ac:dyDescent="0.25">
      <c r="A7666" s="4" t="str">
        <f>CONCATENATE("3071-0000-4366","")</f>
        <v>3071-0000-4366</v>
      </c>
      <c r="B7666" s="4" t="s">
        <v>9429</v>
      </c>
      <c r="C7666" s="5">
        <v>41489</v>
      </c>
      <c r="D7666" s="5">
        <v>41549</v>
      </c>
      <c r="E7666" s="4" t="s">
        <v>1410</v>
      </c>
      <c r="F7666" s="4" t="s">
        <v>8696</v>
      </c>
    </row>
    <row r="7667" spans="1:6" x14ac:dyDescent="0.25">
      <c r="A7667" s="4" t="str">
        <f>CONCATENATE("3071-0000-8384","")</f>
        <v>3071-0000-8384</v>
      </c>
      <c r="B7667" s="4" t="s">
        <v>5427</v>
      </c>
      <c r="C7667" s="5">
        <v>41489</v>
      </c>
      <c r="D7667" s="5">
        <v>41549</v>
      </c>
      <c r="E7667" s="4" t="s">
        <v>5185</v>
      </c>
      <c r="F7667" s="4" t="s">
        <v>5185</v>
      </c>
    </row>
    <row r="7668" spans="1:6" x14ac:dyDescent="0.25">
      <c r="A7668" s="4" t="str">
        <f>CONCATENATE("3071-0000-8255","")</f>
        <v>3071-0000-8255</v>
      </c>
      <c r="B7668" s="4" t="s">
        <v>5398</v>
      </c>
      <c r="C7668" s="5">
        <v>41489</v>
      </c>
      <c r="D7668" s="5">
        <v>41549</v>
      </c>
      <c r="E7668" s="4" t="s">
        <v>5185</v>
      </c>
      <c r="F7668" s="4" t="s">
        <v>5185</v>
      </c>
    </row>
    <row r="7669" spans="1:6" x14ac:dyDescent="0.25">
      <c r="A7669" s="4" t="str">
        <f>CONCATENATE("3071-0000-5555","")</f>
        <v>3071-0000-5555</v>
      </c>
      <c r="B7669" s="4" t="s">
        <v>7341</v>
      </c>
      <c r="C7669" s="5">
        <v>41489</v>
      </c>
      <c r="D7669" s="5">
        <v>41549</v>
      </c>
      <c r="E7669" s="4" t="s">
        <v>5185</v>
      </c>
      <c r="F7669" s="4" t="s">
        <v>5185</v>
      </c>
    </row>
    <row r="7670" spans="1:6" x14ac:dyDescent="0.25">
      <c r="A7670" s="4" t="str">
        <f>CONCATENATE("3071-0000-8375","")</f>
        <v>3071-0000-8375</v>
      </c>
      <c r="B7670" s="4" t="s">
        <v>5426</v>
      </c>
      <c r="C7670" s="5">
        <v>41489</v>
      </c>
      <c r="D7670" s="5">
        <v>41549</v>
      </c>
      <c r="E7670" s="4" t="s">
        <v>5185</v>
      </c>
      <c r="F7670" s="4" t="s">
        <v>5185</v>
      </c>
    </row>
    <row r="7671" spans="1:6" x14ac:dyDescent="0.25">
      <c r="A7671" s="4" t="str">
        <f>CONCATENATE("3071-0000-6334","")</f>
        <v>3071-0000-6334</v>
      </c>
      <c r="B7671" s="4" t="s">
        <v>7198</v>
      </c>
      <c r="C7671" s="5">
        <v>41489</v>
      </c>
      <c r="D7671" s="5">
        <v>41549</v>
      </c>
      <c r="E7671" s="4" t="s">
        <v>7069</v>
      </c>
      <c r="F7671" s="4" t="s">
        <v>7183</v>
      </c>
    </row>
    <row r="7672" spans="1:6" x14ac:dyDescent="0.25">
      <c r="A7672" s="4" t="str">
        <f>CONCATENATE("3071-0000-7947","")</f>
        <v>3071-0000-7947</v>
      </c>
      <c r="B7672" s="4" t="s">
        <v>5584</v>
      </c>
      <c r="C7672" s="5">
        <v>41489</v>
      </c>
      <c r="D7672" s="5">
        <v>41549</v>
      </c>
      <c r="E7672" s="4" t="s">
        <v>5185</v>
      </c>
      <c r="F7672" s="4" t="s">
        <v>5185</v>
      </c>
    </row>
    <row r="7673" spans="1:6" x14ac:dyDescent="0.25">
      <c r="A7673" s="4" t="str">
        <f>CONCATENATE("3071-0000-7811","")</f>
        <v>3071-0000-7811</v>
      </c>
      <c r="B7673" s="4" t="s">
        <v>5510</v>
      </c>
      <c r="C7673" s="5">
        <v>41489</v>
      </c>
      <c r="D7673" s="5">
        <v>41549</v>
      </c>
      <c r="E7673" s="4" t="s">
        <v>5185</v>
      </c>
      <c r="F7673" s="4" t="s">
        <v>5250</v>
      </c>
    </row>
    <row r="7674" spans="1:6" x14ac:dyDescent="0.25">
      <c r="A7674" s="4" t="str">
        <f>CONCATENATE("3071-0000-7471","")</f>
        <v>3071-0000-7471</v>
      </c>
      <c r="B7674" s="4" t="s">
        <v>4452</v>
      </c>
      <c r="C7674" s="5">
        <v>41489</v>
      </c>
      <c r="D7674" s="5">
        <v>41549</v>
      </c>
      <c r="E7674" s="4" t="s">
        <v>1410</v>
      </c>
      <c r="F7674" s="4" t="s">
        <v>1410</v>
      </c>
    </row>
    <row r="7675" spans="1:6" x14ac:dyDescent="0.25">
      <c r="A7675" s="4" t="str">
        <f>CONCATENATE("3071-0000-4866","")</f>
        <v>3071-0000-4866</v>
      </c>
      <c r="B7675" s="4" t="s">
        <v>8824</v>
      </c>
      <c r="C7675" s="5">
        <v>41489</v>
      </c>
      <c r="D7675" s="5">
        <v>41549</v>
      </c>
      <c r="E7675" s="4" t="s">
        <v>1410</v>
      </c>
      <c r="F7675" s="4" t="s">
        <v>5258</v>
      </c>
    </row>
    <row r="7676" spans="1:6" x14ac:dyDescent="0.25">
      <c r="A7676" s="4" t="str">
        <f>CONCATENATE("3071-0000-6702","")</f>
        <v>3071-0000-6702</v>
      </c>
      <c r="B7676" s="4" t="s">
        <v>8165</v>
      </c>
      <c r="C7676" s="5">
        <v>41489</v>
      </c>
      <c r="D7676" s="5">
        <v>41549</v>
      </c>
      <c r="E7676" s="4" t="s">
        <v>5185</v>
      </c>
      <c r="F7676" s="4" t="s">
        <v>5185</v>
      </c>
    </row>
    <row r="7677" spans="1:6" x14ac:dyDescent="0.25">
      <c r="A7677" s="4" t="str">
        <f>CONCATENATE("3071-0000-7395","")</f>
        <v>3071-0000-7395</v>
      </c>
      <c r="B7677" s="4" t="s">
        <v>5009</v>
      </c>
      <c r="C7677" s="5">
        <v>41489</v>
      </c>
      <c r="D7677" s="5">
        <v>41549</v>
      </c>
      <c r="E7677" s="4" t="s">
        <v>1410</v>
      </c>
      <c r="F7677" s="4" t="s">
        <v>1410</v>
      </c>
    </row>
    <row r="7678" spans="1:6" x14ac:dyDescent="0.25">
      <c r="A7678" s="4" t="str">
        <f>CONCATENATE("3071-0000-9451","")</f>
        <v>3071-0000-9451</v>
      </c>
      <c r="B7678" s="4" t="s">
        <v>8503</v>
      </c>
      <c r="C7678" s="5">
        <v>41489</v>
      </c>
      <c r="D7678" s="5">
        <v>41549</v>
      </c>
      <c r="E7678" s="4" t="s">
        <v>1410</v>
      </c>
      <c r="F7678" s="4" t="s">
        <v>4459</v>
      </c>
    </row>
    <row r="7679" spans="1:6" x14ac:dyDescent="0.25">
      <c r="A7679" s="4" t="str">
        <f>CONCATENATE("3071-0000-4195","")</f>
        <v>3071-0000-4195</v>
      </c>
      <c r="B7679" s="4" t="s">
        <v>4212</v>
      </c>
      <c r="C7679" s="5">
        <v>41489</v>
      </c>
      <c r="D7679" s="5">
        <v>41549</v>
      </c>
      <c r="E7679" s="4" t="s">
        <v>7</v>
      </c>
      <c r="F7679" s="4" t="s">
        <v>1419</v>
      </c>
    </row>
    <row r="7680" spans="1:6" x14ac:dyDescent="0.25">
      <c r="A7680" s="4" t="str">
        <f>CONCATENATE("3071-0000-7494","")</f>
        <v>3071-0000-7494</v>
      </c>
      <c r="B7680" s="4" t="s">
        <v>4775</v>
      </c>
      <c r="C7680" s="5">
        <v>41489</v>
      </c>
      <c r="D7680" s="5">
        <v>41549</v>
      </c>
      <c r="E7680" s="4" t="s">
        <v>1410</v>
      </c>
      <c r="F7680" s="4" t="s">
        <v>4655</v>
      </c>
    </row>
    <row r="7681" spans="1:6" x14ac:dyDescent="0.25">
      <c r="A7681" s="4" t="str">
        <f>CONCATENATE("3071-0000-5622","")</f>
        <v>3071-0000-5622</v>
      </c>
      <c r="B7681" s="4" t="s">
        <v>7201</v>
      </c>
      <c r="C7681" s="5">
        <v>41489</v>
      </c>
      <c r="D7681" s="5">
        <v>41549</v>
      </c>
      <c r="E7681" s="4" t="s">
        <v>5185</v>
      </c>
      <c r="F7681" s="4" t="s">
        <v>5185</v>
      </c>
    </row>
    <row r="7682" spans="1:6" x14ac:dyDescent="0.25">
      <c r="A7682" s="4" t="str">
        <f>CONCATENATE("3071-0000-7534","")</f>
        <v>3071-0000-7534</v>
      </c>
      <c r="B7682" s="4" t="s">
        <v>4415</v>
      </c>
      <c r="C7682" s="5">
        <v>41489</v>
      </c>
      <c r="D7682" s="5">
        <v>41549</v>
      </c>
      <c r="E7682" s="4" t="s">
        <v>1410</v>
      </c>
      <c r="F7682" s="4" t="s">
        <v>1410</v>
      </c>
    </row>
    <row r="7683" spans="1:6" x14ac:dyDescent="0.25">
      <c r="A7683" s="4" t="str">
        <f>CONCATENATE("3071-0000-4258","")</f>
        <v>3071-0000-4258</v>
      </c>
      <c r="B7683" s="4" t="s">
        <v>8848</v>
      </c>
      <c r="C7683" s="5">
        <v>41489</v>
      </c>
      <c r="D7683" s="5">
        <v>41549</v>
      </c>
      <c r="E7683" s="4" t="s">
        <v>1410</v>
      </c>
      <c r="F7683" s="4" t="s">
        <v>8696</v>
      </c>
    </row>
    <row r="7684" spans="1:6" x14ac:dyDescent="0.25">
      <c r="A7684" s="4" t="str">
        <f>CONCATENATE("3071-0000-0369","")</f>
        <v>3071-0000-0369</v>
      </c>
      <c r="B7684" s="4" t="s">
        <v>648</v>
      </c>
      <c r="C7684" s="5">
        <v>41489</v>
      </c>
      <c r="D7684" s="5">
        <v>41549</v>
      </c>
      <c r="E7684" s="4" t="s">
        <v>7</v>
      </c>
      <c r="F7684" s="4" t="s">
        <v>7</v>
      </c>
    </row>
    <row r="7685" spans="1:6" x14ac:dyDescent="0.25">
      <c r="A7685" s="4" t="str">
        <f>CONCATENATE("3071-0000-1523","")</f>
        <v>3071-0000-1523</v>
      </c>
      <c r="B7685" s="4" t="s">
        <v>2874</v>
      </c>
      <c r="C7685" s="5">
        <v>41489</v>
      </c>
      <c r="D7685" s="5">
        <v>41549</v>
      </c>
      <c r="E7685" s="4" t="s">
        <v>1381</v>
      </c>
      <c r="F7685" s="4" t="s">
        <v>2303</v>
      </c>
    </row>
    <row r="7686" spans="1:6" x14ac:dyDescent="0.25">
      <c r="A7686" s="4" t="str">
        <f>CONCATENATE("3071-0000-3576","")</f>
        <v>3071-0000-3576</v>
      </c>
      <c r="B7686" s="4" t="s">
        <v>1847</v>
      </c>
      <c r="C7686" s="5">
        <v>41489</v>
      </c>
      <c r="D7686" s="5">
        <v>41549</v>
      </c>
      <c r="E7686" s="4" t="s">
        <v>1410</v>
      </c>
      <c r="F7686" s="4" t="s">
        <v>1411</v>
      </c>
    </row>
    <row r="7687" spans="1:6" x14ac:dyDescent="0.25">
      <c r="A7687" s="4" t="str">
        <f>CONCATENATE("3071-0000-9596","")</f>
        <v>3071-0000-9596</v>
      </c>
      <c r="B7687" s="4" t="s">
        <v>8674</v>
      </c>
      <c r="C7687" s="5">
        <v>41489</v>
      </c>
      <c r="D7687" s="5">
        <v>41549</v>
      </c>
      <c r="E7687" s="4" t="s">
        <v>1410</v>
      </c>
      <c r="F7687" s="4" t="s">
        <v>4459</v>
      </c>
    </row>
    <row r="7688" spans="1:6" x14ac:dyDescent="0.25">
      <c r="A7688" s="4" t="str">
        <f>CONCATENATE("3071-0000-7440","")</f>
        <v>3071-0000-7440</v>
      </c>
      <c r="B7688" s="4" t="s">
        <v>4610</v>
      </c>
      <c r="C7688" s="5">
        <v>41489</v>
      </c>
      <c r="D7688" s="5">
        <v>41549</v>
      </c>
      <c r="E7688" s="4" t="s">
        <v>1410</v>
      </c>
      <c r="F7688" s="4" t="s">
        <v>1410</v>
      </c>
    </row>
    <row r="7689" spans="1:6" x14ac:dyDescent="0.25">
      <c r="A7689" s="4" t="str">
        <f>CONCATENATE("3071-0000-4761","")</f>
        <v>3071-0000-4761</v>
      </c>
      <c r="B7689" s="4" t="s">
        <v>9029</v>
      </c>
      <c r="C7689" s="5">
        <v>41489</v>
      </c>
      <c r="D7689" s="5">
        <v>41549</v>
      </c>
      <c r="E7689" s="4" t="s">
        <v>1410</v>
      </c>
      <c r="F7689" s="4" t="s">
        <v>8696</v>
      </c>
    </row>
    <row r="7690" spans="1:6" x14ac:dyDescent="0.25">
      <c r="A7690" s="4" t="str">
        <f>CONCATENATE("3071-0000-6549","")</f>
        <v>3071-0000-6549</v>
      </c>
      <c r="B7690" s="4" t="s">
        <v>7797</v>
      </c>
      <c r="C7690" s="5">
        <v>41489</v>
      </c>
      <c r="D7690" s="5">
        <v>41549</v>
      </c>
      <c r="E7690" s="4" t="s">
        <v>5185</v>
      </c>
      <c r="F7690" s="4" t="s">
        <v>5185</v>
      </c>
    </row>
    <row r="7691" spans="1:6" x14ac:dyDescent="0.25">
      <c r="A7691" s="4" t="str">
        <f>CONCATENATE("3071-0000-4629","")</f>
        <v>3071-0000-4629</v>
      </c>
      <c r="B7691" s="4" t="s">
        <v>9481</v>
      </c>
      <c r="C7691" s="5">
        <v>41489</v>
      </c>
      <c r="D7691" s="5">
        <v>41549</v>
      </c>
      <c r="E7691" s="4" t="s">
        <v>1410</v>
      </c>
      <c r="F7691" s="4" t="s">
        <v>8696</v>
      </c>
    </row>
    <row r="7692" spans="1:6" x14ac:dyDescent="0.25">
      <c r="A7692" s="4" t="str">
        <f>CONCATENATE("3071-0000-6493","")</f>
        <v>3071-0000-6493</v>
      </c>
      <c r="B7692" s="4" t="s">
        <v>7779</v>
      </c>
      <c r="C7692" s="5">
        <v>41489</v>
      </c>
      <c r="D7692" s="5">
        <v>41549</v>
      </c>
      <c r="E7692" s="4" t="s">
        <v>1410</v>
      </c>
      <c r="F7692" s="4" t="s">
        <v>4655</v>
      </c>
    </row>
    <row r="7693" spans="1:6" x14ac:dyDescent="0.25">
      <c r="A7693" s="4" t="str">
        <f>CONCATENATE("3071-0000-4034","")</f>
        <v>3071-0000-4034</v>
      </c>
      <c r="B7693" s="4" t="s">
        <v>4226</v>
      </c>
      <c r="C7693" s="5">
        <v>41489</v>
      </c>
      <c r="D7693" s="5">
        <v>41549</v>
      </c>
      <c r="E7693" s="4" t="s">
        <v>7</v>
      </c>
      <c r="F7693" s="4" t="s">
        <v>1419</v>
      </c>
    </row>
    <row r="7694" spans="1:6" x14ac:dyDescent="0.25">
      <c r="A7694" s="4" t="str">
        <f>CONCATENATE("3071-0000-6357","")</f>
        <v>3071-0000-6357</v>
      </c>
      <c r="B7694" s="4" t="s">
        <v>7878</v>
      </c>
      <c r="C7694" s="5">
        <v>41489</v>
      </c>
      <c r="D7694" s="5">
        <v>41549</v>
      </c>
      <c r="E7694" s="4" t="s">
        <v>5185</v>
      </c>
      <c r="F7694" s="4" t="s">
        <v>5185</v>
      </c>
    </row>
    <row r="7695" spans="1:6" x14ac:dyDescent="0.25">
      <c r="A7695" s="4" t="str">
        <f>CONCATENATE("3071-0000-8234","")</f>
        <v>3071-0000-8234</v>
      </c>
      <c r="B7695" s="4" t="s">
        <v>5730</v>
      </c>
      <c r="C7695" s="5">
        <v>41489</v>
      </c>
      <c r="D7695" s="5">
        <v>41549</v>
      </c>
      <c r="E7695" s="4" t="s">
        <v>5185</v>
      </c>
      <c r="F7695" s="4" t="s">
        <v>5185</v>
      </c>
    </row>
    <row r="7696" spans="1:6" x14ac:dyDescent="0.25">
      <c r="A7696" s="4" t="str">
        <f>CONCATENATE("3071-0000-6264","")</f>
        <v>3071-0000-6264</v>
      </c>
      <c r="B7696" s="4" t="s">
        <v>7212</v>
      </c>
      <c r="C7696" s="5">
        <v>41489</v>
      </c>
      <c r="D7696" s="5">
        <v>41549</v>
      </c>
      <c r="E7696" s="4" t="s">
        <v>7069</v>
      </c>
      <c r="F7696" s="4" t="s">
        <v>7183</v>
      </c>
    </row>
    <row r="7697" spans="1:6" x14ac:dyDescent="0.25">
      <c r="A7697" s="4" t="str">
        <f>CONCATENATE("3071-0000-1566","")</f>
        <v>3071-0000-1566</v>
      </c>
      <c r="B7697" s="4" t="s">
        <v>2442</v>
      </c>
      <c r="C7697" s="5">
        <v>41489</v>
      </c>
      <c r="D7697" s="5">
        <v>41549</v>
      </c>
      <c r="E7697" s="4" t="s">
        <v>1381</v>
      </c>
      <c r="F7697" s="4" t="s">
        <v>2303</v>
      </c>
    </row>
    <row r="7698" spans="1:6" x14ac:dyDescent="0.25">
      <c r="A7698" s="4" t="str">
        <f>CONCATENATE("3071-0000-5259","")</f>
        <v>3071-0000-5259</v>
      </c>
      <c r="B7698" s="4" t="s">
        <v>6702</v>
      </c>
      <c r="C7698" s="5">
        <v>41489</v>
      </c>
      <c r="D7698" s="5">
        <v>41549</v>
      </c>
      <c r="E7698" s="4" t="s">
        <v>5185</v>
      </c>
      <c r="F7698" s="4" t="s">
        <v>5185</v>
      </c>
    </row>
    <row r="7699" spans="1:6" x14ac:dyDescent="0.25">
      <c r="A7699" s="4" t="str">
        <f>CONCATENATE("3071-0000-9555","")</f>
        <v>3071-0000-9555</v>
      </c>
      <c r="B7699" s="4" t="s">
        <v>8658</v>
      </c>
      <c r="C7699" s="5">
        <v>41489</v>
      </c>
      <c r="D7699" s="5">
        <v>41549</v>
      </c>
      <c r="E7699" s="4" t="s">
        <v>1410</v>
      </c>
      <c r="F7699" s="4" t="s">
        <v>4459</v>
      </c>
    </row>
    <row r="7700" spans="1:6" x14ac:dyDescent="0.25">
      <c r="A7700" s="4" t="str">
        <f>CONCATENATE("3071-0000-9532","")</f>
        <v>3071-0000-9532</v>
      </c>
      <c r="B7700" s="4" t="s">
        <v>8630</v>
      </c>
      <c r="C7700" s="5">
        <v>41489</v>
      </c>
      <c r="D7700" s="5">
        <v>41549</v>
      </c>
      <c r="E7700" s="4" t="s">
        <v>1410</v>
      </c>
      <c r="F7700" s="4" t="s">
        <v>4459</v>
      </c>
    </row>
    <row r="7701" spans="1:6" x14ac:dyDescent="0.25">
      <c r="A7701" s="4" t="str">
        <f>CONCATENATE("3071-0000-4984","")</f>
        <v>3071-0000-4984</v>
      </c>
      <c r="B7701" s="4" t="s">
        <v>9042</v>
      </c>
      <c r="C7701" s="5">
        <v>41489</v>
      </c>
      <c r="D7701" s="5">
        <v>41549</v>
      </c>
      <c r="E7701" s="4" t="s">
        <v>7069</v>
      </c>
      <c r="F7701" s="4" t="s">
        <v>8783</v>
      </c>
    </row>
    <row r="7702" spans="1:6" x14ac:dyDescent="0.25">
      <c r="A7702" s="4" t="str">
        <f>CONCATENATE("3071-0000-2172","")</f>
        <v>3071-0000-2172</v>
      </c>
      <c r="B7702" s="4" t="s">
        <v>3646</v>
      </c>
      <c r="C7702" s="5">
        <v>41489</v>
      </c>
      <c r="D7702" s="5">
        <v>41549</v>
      </c>
      <c r="E7702" s="4" t="s">
        <v>2944</v>
      </c>
      <c r="F7702" s="4" t="s">
        <v>2945</v>
      </c>
    </row>
    <row r="7703" spans="1:6" x14ac:dyDescent="0.25">
      <c r="A7703" s="4" t="str">
        <f>CONCATENATE("3071-0000-7321","")</f>
        <v>3071-0000-7321</v>
      </c>
      <c r="B7703" s="4" t="s">
        <v>4391</v>
      </c>
      <c r="C7703" s="5">
        <v>41489</v>
      </c>
      <c r="D7703" s="5">
        <v>41549</v>
      </c>
      <c r="E7703" s="4" t="s">
        <v>1410</v>
      </c>
      <c r="F7703" s="4" t="s">
        <v>1410</v>
      </c>
    </row>
    <row r="7704" spans="1:6" x14ac:dyDescent="0.25">
      <c r="A7704" s="4" t="str">
        <f>CONCATENATE("3071-0000-9260","")</f>
        <v>3071-0000-9260</v>
      </c>
      <c r="B7704" s="4" t="s">
        <v>8534</v>
      </c>
      <c r="C7704" s="5">
        <v>41489</v>
      </c>
      <c r="D7704" s="5">
        <v>41549</v>
      </c>
      <c r="E7704" s="4" t="s">
        <v>5185</v>
      </c>
      <c r="F7704" s="4" t="s">
        <v>5185</v>
      </c>
    </row>
    <row r="7705" spans="1:6" x14ac:dyDescent="0.25">
      <c r="A7705" s="4" t="str">
        <f>CONCATENATE("3071-0000-4316","")</f>
        <v>3071-0000-4316</v>
      </c>
      <c r="B7705" s="4" t="s">
        <v>8698</v>
      </c>
      <c r="C7705" s="5">
        <v>41489</v>
      </c>
      <c r="D7705" s="5">
        <v>41549</v>
      </c>
      <c r="E7705" s="4" t="s">
        <v>1410</v>
      </c>
      <c r="F7705" s="4" t="s">
        <v>8696</v>
      </c>
    </row>
    <row r="7706" spans="1:6" x14ac:dyDescent="0.25">
      <c r="A7706" s="4" t="str">
        <f>CONCATENATE("3071-0000-1519","")</f>
        <v>3071-0000-1519</v>
      </c>
      <c r="B7706" s="4" t="s">
        <v>2853</v>
      </c>
      <c r="C7706" s="5">
        <v>41489</v>
      </c>
      <c r="D7706" s="5">
        <v>41549</v>
      </c>
      <c r="E7706" s="4" t="s">
        <v>1381</v>
      </c>
      <c r="F7706" s="4" t="s">
        <v>2303</v>
      </c>
    </row>
    <row r="7707" spans="1:6" x14ac:dyDescent="0.25">
      <c r="A7707" s="4" t="str">
        <f>CONCATENATE("3071-0000-9261","")</f>
        <v>3071-0000-9261</v>
      </c>
      <c r="B7707" s="4" t="s">
        <v>8535</v>
      </c>
      <c r="C7707" s="5">
        <v>41489</v>
      </c>
      <c r="D7707" s="5">
        <v>41549</v>
      </c>
      <c r="E7707" s="4" t="s">
        <v>5185</v>
      </c>
      <c r="F7707" s="4" t="s">
        <v>5185</v>
      </c>
    </row>
    <row r="7708" spans="1:6" x14ac:dyDescent="0.25">
      <c r="A7708" s="4" t="str">
        <f>CONCATENATE("3071-0000-6035","")</f>
        <v>3071-0000-6035</v>
      </c>
      <c r="B7708" s="4" t="s">
        <v>7224</v>
      </c>
      <c r="C7708" s="5">
        <v>41489</v>
      </c>
      <c r="D7708" s="5">
        <v>41549</v>
      </c>
      <c r="E7708" s="4" t="s">
        <v>7069</v>
      </c>
      <c r="F7708" s="4" t="s">
        <v>7183</v>
      </c>
    </row>
    <row r="7709" spans="1:6" x14ac:dyDescent="0.25">
      <c r="A7709" s="4" t="str">
        <f>CONCATENATE("3071-0000-6030","")</f>
        <v>3071-0000-6030</v>
      </c>
      <c r="B7709" s="4" t="s">
        <v>7226</v>
      </c>
      <c r="C7709" s="5">
        <v>41489</v>
      </c>
      <c r="D7709" s="5">
        <v>41549</v>
      </c>
      <c r="E7709" s="4" t="s">
        <v>7069</v>
      </c>
      <c r="F7709" s="4" t="s">
        <v>7183</v>
      </c>
    </row>
    <row r="7710" spans="1:6" x14ac:dyDescent="0.25">
      <c r="A7710" s="4" t="str">
        <f>CONCATENATE("3071-0000-4557","")</f>
        <v>3071-0000-4557</v>
      </c>
      <c r="B7710" s="4" t="s">
        <v>9084</v>
      </c>
      <c r="C7710" s="5">
        <v>41489</v>
      </c>
      <c r="D7710" s="5">
        <v>41549</v>
      </c>
      <c r="E7710" s="4" t="s">
        <v>1410</v>
      </c>
      <c r="F7710" s="4" t="s">
        <v>8696</v>
      </c>
    </row>
    <row r="7711" spans="1:6" x14ac:dyDescent="0.25">
      <c r="A7711" s="4" t="str">
        <f>CONCATENATE("3071-0000-5708","")</f>
        <v>3071-0000-5708</v>
      </c>
      <c r="B7711" s="4" t="s">
        <v>7420</v>
      </c>
      <c r="C7711" s="5">
        <v>41489</v>
      </c>
      <c r="D7711" s="5">
        <v>41549</v>
      </c>
      <c r="E7711" s="4" t="s">
        <v>5185</v>
      </c>
      <c r="F7711" s="4" t="s">
        <v>5185</v>
      </c>
    </row>
    <row r="7712" spans="1:6" x14ac:dyDescent="0.25">
      <c r="A7712" s="4" t="str">
        <f>CONCATENATE("3071-0000-5903","")</f>
        <v>3071-0000-5903</v>
      </c>
      <c r="B7712" s="4" t="s">
        <v>7595</v>
      </c>
      <c r="C7712" s="5">
        <v>41489</v>
      </c>
      <c r="D7712" s="5">
        <v>41549</v>
      </c>
      <c r="E7712" s="4" t="s">
        <v>5185</v>
      </c>
      <c r="F7712" s="4" t="s">
        <v>5185</v>
      </c>
    </row>
    <row r="7713" spans="1:6" x14ac:dyDescent="0.25">
      <c r="A7713" s="4" t="str">
        <f>CONCATENATE("3071-0000-5707","")</f>
        <v>3071-0000-5707</v>
      </c>
      <c r="B7713" s="4" t="s">
        <v>7409</v>
      </c>
      <c r="C7713" s="5">
        <v>41489</v>
      </c>
      <c r="D7713" s="5">
        <v>41549</v>
      </c>
      <c r="E7713" s="4" t="s">
        <v>5185</v>
      </c>
      <c r="F7713" s="4" t="s">
        <v>5185</v>
      </c>
    </row>
    <row r="7714" spans="1:6" x14ac:dyDescent="0.25">
      <c r="A7714" s="4" t="str">
        <f>CONCATENATE("3071-0000-5702","")</f>
        <v>3071-0000-5702</v>
      </c>
      <c r="B7714" s="4" t="s">
        <v>7427</v>
      </c>
      <c r="C7714" s="5">
        <v>41489</v>
      </c>
      <c r="D7714" s="5">
        <v>41549</v>
      </c>
      <c r="E7714" s="4" t="s">
        <v>5185</v>
      </c>
      <c r="F7714" s="4" t="s">
        <v>5185</v>
      </c>
    </row>
    <row r="7715" spans="1:6" x14ac:dyDescent="0.25">
      <c r="A7715" s="4" t="str">
        <f>CONCATENATE("3071-0000-3534","")</f>
        <v>3071-0000-3534</v>
      </c>
      <c r="B7715" s="4" t="s">
        <v>1772</v>
      </c>
      <c r="C7715" s="5">
        <v>41489</v>
      </c>
      <c r="D7715" s="5">
        <v>41549</v>
      </c>
      <c r="E7715" s="4" t="s">
        <v>1410</v>
      </c>
      <c r="F7715" s="4" t="s">
        <v>1411</v>
      </c>
    </row>
    <row r="7716" spans="1:6" x14ac:dyDescent="0.25">
      <c r="A7716" s="4" t="str">
        <f>CONCATENATE("3071-0000-3488","")</f>
        <v>3071-0000-3488</v>
      </c>
      <c r="B7716" s="4" t="s">
        <v>1783</v>
      </c>
      <c r="C7716" s="5">
        <v>41489</v>
      </c>
      <c r="D7716" s="5">
        <v>41549</v>
      </c>
      <c r="E7716" s="4" t="s">
        <v>1410</v>
      </c>
      <c r="F7716" s="4" t="s">
        <v>1411</v>
      </c>
    </row>
    <row r="7717" spans="1:6" x14ac:dyDescent="0.25">
      <c r="A7717" s="4" t="str">
        <f>CONCATENATE("3071-0000-8449","")</f>
        <v>3071-0000-8449</v>
      </c>
      <c r="B7717" s="4" t="s">
        <v>6057</v>
      </c>
      <c r="C7717" s="5">
        <v>41489</v>
      </c>
      <c r="D7717" s="5">
        <v>41549</v>
      </c>
      <c r="E7717" s="4" t="s">
        <v>5185</v>
      </c>
      <c r="F7717" s="4" t="s">
        <v>5945</v>
      </c>
    </row>
    <row r="7718" spans="1:6" x14ac:dyDescent="0.25">
      <c r="A7718" s="4" t="str">
        <f>CONCATENATE("3071-0000-5677","")</f>
        <v>3071-0000-5677</v>
      </c>
      <c r="B7718" s="4" t="s">
        <v>7548</v>
      </c>
      <c r="C7718" s="5">
        <v>41489</v>
      </c>
      <c r="D7718" s="5">
        <v>41549</v>
      </c>
      <c r="E7718" s="4" t="s">
        <v>5185</v>
      </c>
      <c r="F7718" s="4" t="s">
        <v>5185</v>
      </c>
    </row>
    <row r="7719" spans="1:6" x14ac:dyDescent="0.25">
      <c r="A7719" s="4" t="str">
        <f>CONCATENATE("3071-0000-4479","")</f>
        <v>3071-0000-4479</v>
      </c>
      <c r="B7719" s="4" t="s">
        <v>9370</v>
      </c>
      <c r="C7719" s="5">
        <v>41489</v>
      </c>
      <c r="D7719" s="5">
        <v>41549</v>
      </c>
      <c r="E7719" s="4" t="s">
        <v>1410</v>
      </c>
      <c r="F7719" s="4" t="s">
        <v>8696</v>
      </c>
    </row>
    <row r="7720" spans="1:6" x14ac:dyDescent="0.25">
      <c r="A7720" s="4" t="str">
        <f>CONCATENATE("3071-0000-5053","")</f>
        <v>3071-0000-5053</v>
      </c>
      <c r="B7720" s="4" t="s">
        <v>9310</v>
      </c>
      <c r="C7720" s="5">
        <v>41489</v>
      </c>
      <c r="D7720" s="5">
        <v>41549</v>
      </c>
      <c r="E7720" s="4" t="s">
        <v>7069</v>
      </c>
      <c r="F7720" s="4" t="s">
        <v>9210</v>
      </c>
    </row>
    <row r="7721" spans="1:6" x14ac:dyDescent="0.25">
      <c r="A7721" s="4" t="str">
        <f>CONCATENATE("3071-0000-1616","")</f>
        <v>3071-0000-1616</v>
      </c>
      <c r="B7721" s="4" t="s">
        <v>2934</v>
      </c>
      <c r="C7721" s="5">
        <v>41489</v>
      </c>
      <c r="D7721" s="5">
        <v>41549</v>
      </c>
      <c r="E7721" s="4" t="s">
        <v>1381</v>
      </c>
      <c r="F7721" s="4" t="s">
        <v>2303</v>
      </c>
    </row>
    <row r="7722" spans="1:6" x14ac:dyDescent="0.25">
      <c r="A7722" s="4" t="str">
        <f>CONCATENATE("3071-0000-3617","")</f>
        <v>3071-0000-3617</v>
      </c>
      <c r="B7722" s="4" t="s">
        <v>1855</v>
      </c>
      <c r="C7722" s="5">
        <v>41489</v>
      </c>
      <c r="D7722" s="5">
        <v>41549</v>
      </c>
      <c r="E7722" s="4" t="s">
        <v>1410</v>
      </c>
      <c r="F7722" s="4" t="s">
        <v>1613</v>
      </c>
    </row>
    <row r="7723" spans="1:6" x14ac:dyDescent="0.25">
      <c r="A7723" s="4" t="str">
        <f>CONCATENATE("3071-0000-3255","")</f>
        <v>3071-0000-3255</v>
      </c>
      <c r="B7723" s="4" t="s">
        <v>967</v>
      </c>
      <c r="C7723" s="5">
        <v>41489</v>
      </c>
      <c r="D7723" s="5">
        <v>41549</v>
      </c>
      <c r="E7723" s="4" t="s">
        <v>7</v>
      </c>
      <c r="F7723" s="4" t="s">
        <v>808</v>
      </c>
    </row>
    <row r="7724" spans="1:6" x14ac:dyDescent="0.25">
      <c r="A7724" s="4" t="str">
        <f>CONCATENATE("3071-0000-3084","")</f>
        <v>3071-0000-3084</v>
      </c>
      <c r="B7724" s="4" t="s">
        <v>1064</v>
      </c>
      <c r="C7724" s="5">
        <v>41489</v>
      </c>
      <c r="D7724" s="5">
        <v>41549</v>
      </c>
      <c r="E7724" s="4" t="s">
        <v>7</v>
      </c>
      <c r="F7724" s="4" t="s">
        <v>808</v>
      </c>
    </row>
    <row r="7725" spans="1:6" x14ac:dyDescent="0.25">
      <c r="A7725" s="4" t="str">
        <f>CONCATENATE("3071-0000-4029","")</f>
        <v>3071-0000-4029</v>
      </c>
      <c r="B7725" s="4" t="s">
        <v>4234</v>
      </c>
      <c r="C7725" s="5">
        <v>41489</v>
      </c>
      <c r="D7725" s="5">
        <v>41549</v>
      </c>
      <c r="E7725" s="4" t="s">
        <v>7</v>
      </c>
      <c r="F7725" s="4" t="s">
        <v>1419</v>
      </c>
    </row>
    <row r="7726" spans="1:6" x14ac:dyDescent="0.25">
      <c r="A7726" s="4" t="str">
        <f>CONCATENATE("3071-0000-4779","")</f>
        <v>3071-0000-4779</v>
      </c>
      <c r="B7726" s="4" t="s">
        <v>9045</v>
      </c>
      <c r="C7726" s="5">
        <v>41489</v>
      </c>
      <c r="D7726" s="5">
        <v>41549</v>
      </c>
      <c r="E7726" s="4" t="s">
        <v>1410</v>
      </c>
      <c r="F7726" s="4" t="s">
        <v>8696</v>
      </c>
    </row>
    <row r="7727" spans="1:6" x14ac:dyDescent="0.25">
      <c r="A7727" s="4" t="str">
        <f>CONCATENATE("3071-0000-4760","")</f>
        <v>3071-0000-4760</v>
      </c>
      <c r="B7727" s="4" t="s">
        <v>9037</v>
      </c>
      <c r="C7727" s="5">
        <v>41489</v>
      </c>
      <c r="D7727" s="5">
        <v>41549</v>
      </c>
      <c r="E7727" s="4" t="s">
        <v>1410</v>
      </c>
      <c r="F7727" s="4" t="s">
        <v>8696</v>
      </c>
    </row>
    <row r="7728" spans="1:6" x14ac:dyDescent="0.25">
      <c r="A7728" s="4" t="str">
        <f>CONCATENATE("3071-0000-4051","")</f>
        <v>3071-0000-4051</v>
      </c>
      <c r="B7728" s="4" t="s">
        <v>3986</v>
      </c>
      <c r="C7728" s="5">
        <v>41489</v>
      </c>
      <c r="D7728" s="5">
        <v>41549</v>
      </c>
      <c r="E7728" s="4" t="s">
        <v>7</v>
      </c>
      <c r="F7728" s="4" t="s">
        <v>1419</v>
      </c>
    </row>
    <row r="7729" spans="1:6" x14ac:dyDescent="0.25">
      <c r="A7729" s="4" t="str">
        <f>CONCATENATE("3071-0000-4998","")</f>
        <v>3071-0000-4998</v>
      </c>
      <c r="B7729" s="4" t="s">
        <v>9693</v>
      </c>
      <c r="C7729" s="5">
        <v>41489</v>
      </c>
      <c r="D7729" s="5">
        <v>41549</v>
      </c>
      <c r="E7729" s="4" t="s">
        <v>7069</v>
      </c>
      <c r="F7729" s="4" t="s">
        <v>9554</v>
      </c>
    </row>
    <row r="7730" spans="1:6" x14ac:dyDescent="0.25">
      <c r="A7730" s="4" t="str">
        <f>CONCATENATE("3071-0000-4742","")</f>
        <v>3071-0000-4742</v>
      </c>
      <c r="B7730" s="4" t="s">
        <v>9649</v>
      </c>
      <c r="C7730" s="5">
        <v>41489</v>
      </c>
      <c r="D7730" s="5">
        <v>41549</v>
      </c>
      <c r="E7730" s="4" t="s">
        <v>1410</v>
      </c>
      <c r="F7730" s="4" t="s">
        <v>8696</v>
      </c>
    </row>
    <row r="7731" spans="1:6" x14ac:dyDescent="0.25">
      <c r="A7731" s="4" t="str">
        <f>CONCATENATE("3071-0000-8090","")</f>
        <v>3071-0000-8090</v>
      </c>
      <c r="B7731" s="4" t="s">
        <v>5886</v>
      </c>
      <c r="C7731" s="5">
        <v>41489</v>
      </c>
      <c r="D7731" s="5">
        <v>41549</v>
      </c>
      <c r="E7731" s="4" t="s">
        <v>5185</v>
      </c>
      <c r="F7731" s="4" t="s">
        <v>5185</v>
      </c>
    </row>
    <row r="7732" spans="1:6" x14ac:dyDescent="0.25">
      <c r="A7732" s="4" t="str">
        <f>CONCATENATE("3071-0000-5370","")</f>
        <v>3071-0000-5370</v>
      </c>
      <c r="B7732" s="4" t="s">
        <v>6878</v>
      </c>
      <c r="C7732" s="5">
        <v>41489</v>
      </c>
      <c r="D7732" s="5">
        <v>41549</v>
      </c>
      <c r="E7732" s="4" t="s">
        <v>5185</v>
      </c>
      <c r="F7732" s="4" t="s">
        <v>5185</v>
      </c>
    </row>
    <row r="7733" spans="1:6" x14ac:dyDescent="0.25">
      <c r="A7733" s="4" t="str">
        <f>CONCATENATE("3071-0000-4057","")</f>
        <v>3071-0000-4057</v>
      </c>
      <c r="B7733" s="4" t="s">
        <v>3984</v>
      </c>
      <c r="C7733" s="5">
        <v>41489</v>
      </c>
      <c r="D7733" s="5">
        <v>41549</v>
      </c>
      <c r="E7733" s="4" t="s">
        <v>7</v>
      </c>
      <c r="F7733" s="4" t="s">
        <v>1419</v>
      </c>
    </row>
    <row r="7734" spans="1:6" x14ac:dyDescent="0.25">
      <c r="A7734" s="4" t="str">
        <f>CONCATENATE("3071-0000-5997","")</f>
        <v>3071-0000-5997</v>
      </c>
      <c r="B7734" s="4" t="s">
        <v>7436</v>
      </c>
      <c r="C7734" s="5">
        <v>41489</v>
      </c>
      <c r="D7734" s="5">
        <v>41549</v>
      </c>
      <c r="E7734" s="4" t="s">
        <v>5185</v>
      </c>
      <c r="F7734" s="4" t="s">
        <v>5185</v>
      </c>
    </row>
    <row r="7735" spans="1:6" x14ac:dyDescent="0.25">
      <c r="A7735" s="4" t="str">
        <f>CONCATENATE("3071-0000-7842","")</f>
        <v>3071-0000-7842</v>
      </c>
      <c r="B7735" s="4" t="s">
        <v>6188</v>
      </c>
      <c r="C7735" s="5">
        <v>41489</v>
      </c>
      <c r="D7735" s="5">
        <v>41549</v>
      </c>
      <c r="E7735" s="4" t="s">
        <v>5185</v>
      </c>
      <c r="F7735" s="4" t="s">
        <v>5185</v>
      </c>
    </row>
    <row r="7736" spans="1:6" x14ac:dyDescent="0.25">
      <c r="A7736" s="4" t="str">
        <f>CONCATENATE("3071-0000-7976","")</f>
        <v>3071-0000-7976</v>
      </c>
      <c r="B7736" s="4" t="s">
        <v>5879</v>
      </c>
      <c r="C7736" s="5">
        <v>41489</v>
      </c>
      <c r="D7736" s="5">
        <v>41549</v>
      </c>
      <c r="E7736" s="4" t="s">
        <v>5185</v>
      </c>
      <c r="F7736" s="4" t="s">
        <v>5185</v>
      </c>
    </row>
    <row r="7737" spans="1:6" x14ac:dyDescent="0.25">
      <c r="A7737" s="4" t="str">
        <f>CONCATENATE("3071-0000-8088","")</f>
        <v>3071-0000-8088</v>
      </c>
      <c r="B7737" s="4" t="s">
        <v>5889</v>
      </c>
      <c r="C7737" s="5">
        <v>41489</v>
      </c>
      <c r="D7737" s="5">
        <v>41549</v>
      </c>
      <c r="E7737" s="4" t="s">
        <v>5185</v>
      </c>
      <c r="F7737" s="4" t="s">
        <v>5185</v>
      </c>
    </row>
    <row r="7738" spans="1:6" x14ac:dyDescent="0.25">
      <c r="A7738" s="4" t="str">
        <f>CONCATENATE("3071-0000-8098","")</f>
        <v>3071-0000-8098</v>
      </c>
      <c r="B7738" s="4" t="s">
        <v>5890</v>
      </c>
      <c r="C7738" s="5">
        <v>41489</v>
      </c>
      <c r="D7738" s="5">
        <v>41549</v>
      </c>
      <c r="E7738" s="4" t="s">
        <v>5185</v>
      </c>
      <c r="F7738" s="4" t="s">
        <v>5185</v>
      </c>
    </row>
    <row r="7739" spans="1:6" x14ac:dyDescent="0.25">
      <c r="A7739" s="4" t="str">
        <f>CONCATENATE("3071-0000-8654","")</f>
        <v>3071-0000-8654</v>
      </c>
      <c r="B7739" s="4" t="s">
        <v>6414</v>
      </c>
      <c r="C7739" s="5">
        <v>41489</v>
      </c>
      <c r="D7739" s="5">
        <v>41549</v>
      </c>
      <c r="E7739" s="4" t="s">
        <v>5185</v>
      </c>
      <c r="F7739" s="4" t="s">
        <v>5292</v>
      </c>
    </row>
    <row r="7740" spans="1:6" x14ac:dyDescent="0.25">
      <c r="A7740" s="4" t="str">
        <f>CONCATENATE("3071-0000-4948","")</f>
        <v>3071-0000-4948</v>
      </c>
      <c r="B7740" s="4" t="s">
        <v>9619</v>
      </c>
      <c r="C7740" s="5">
        <v>41489</v>
      </c>
      <c r="D7740" s="5">
        <v>41549</v>
      </c>
      <c r="E7740" s="4" t="s">
        <v>7069</v>
      </c>
      <c r="F7740" s="4" t="s">
        <v>9485</v>
      </c>
    </row>
    <row r="7741" spans="1:6" x14ac:dyDescent="0.25">
      <c r="A7741" s="4" t="str">
        <f>CONCATENATE("3071-0000-6736","")</f>
        <v>3071-0000-6736</v>
      </c>
      <c r="B7741" s="4" t="s">
        <v>8246</v>
      </c>
      <c r="C7741" s="5">
        <v>41489</v>
      </c>
      <c r="D7741" s="5">
        <v>41549</v>
      </c>
      <c r="E7741" s="4" t="s">
        <v>5185</v>
      </c>
      <c r="F7741" s="4" t="s">
        <v>5185</v>
      </c>
    </row>
    <row r="7742" spans="1:6" x14ac:dyDescent="0.25">
      <c r="A7742" s="4" t="str">
        <f>CONCATENATE("3071-0000-8878","")</f>
        <v>3071-0000-8878</v>
      </c>
      <c r="B7742" s="4" t="s">
        <v>5934</v>
      </c>
      <c r="C7742" s="5">
        <v>41489</v>
      </c>
      <c r="D7742" s="5">
        <v>41549</v>
      </c>
      <c r="E7742" s="4" t="s">
        <v>5185</v>
      </c>
      <c r="F7742" s="4" t="s">
        <v>4188</v>
      </c>
    </row>
    <row r="7743" spans="1:6" x14ac:dyDescent="0.25">
      <c r="A7743" s="4" t="str">
        <f>CONCATENATE("3071-0000-3651","")</f>
        <v>3071-0000-3651</v>
      </c>
      <c r="B7743" s="4" t="s">
        <v>1459</v>
      </c>
      <c r="C7743" s="5">
        <v>41489</v>
      </c>
      <c r="D7743" s="5">
        <v>41549</v>
      </c>
      <c r="E7743" s="4" t="s">
        <v>1410</v>
      </c>
      <c r="F7743" s="4" t="s">
        <v>1411</v>
      </c>
    </row>
    <row r="7744" spans="1:6" x14ac:dyDescent="0.25">
      <c r="A7744" s="4" t="str">
        <f>CONCATENATE("3071-0000-8944","")</f>
        <v>3071-0000-8944</v>
      </c>
      <c r="B7744" s="4" t="s">
        <v>6284</v>
      </c>
      <c r="C7744" s="5">
        <v>41489</v>
      </c>
      <c r="D7744" s="5">
        <v>41549</v>
      </c>
      <c r="E7744" s="4" t="s">
        <v>5185</v>
      </c>
      <c r="F7744" s="4" t="s">
        <v>6181</v>
      </c>
    </row>
    <row r="7745" spans="1:6" x14ac:dyDescent="0.25">
      <c r="A7745" s="4" t="str">
        <f>CONCATENATE("3071-0000-3994","")</f>
        <v>3071-0000-3994</v>
      </c>
      <c r="B7745" s="4" t="s">
        <v>3866</v>
      </c>
      <c r="C7745" s="5">
        <v>41489</v>
      </c>
      <c r="D7745" s="5">
        <v>41549</v>
      </c>
      <c r="E7745" s="4" t="s">
        <v>2944</v>
      </c>
      <c r="F7745" s="4" t="s">
        <v>3513</v>
      </c>
    </row>
    <row r="7746" spans="1:6" x14ac:dyDescent="0.25">
      <c r="A7746" s="4" t="str">
        <f>CONCATENATE("3071-0000-3479","")</f>
        <v>3071-0000-3479</v>
      </c>
      <c r="B7746" s="4" t="s">
        <v>1771</v>
      </c>
      <c r="C7746" s="5">
        <v>41489</v>
      </c>
      <c r="D7746" s="5">
        <v>41549</v>
      </c>
      <c r="E7746" s="4" t="s">
        <v>1410</v>
      </c>
      <c r="F7746" s="4" t="s">
        <v>1411</v>
      </c>
    </row>
    <row r="7747" spans="1:6" x14ac:dyDescent="0.25">
      <c r="A7747" s="4" t="str">
        <f>CONCATENATE("3071-0000-5653","")</f>
        <v>3071-0000-5653</v>
      </c>
      <c r="B7747" s="4" t="s">
        <v>7279</v>
      </c>
      <c r="C7747" s="5">
        <v>41489</v>
      </c>
      <c r="D7747" s="5">
        <v>41549</v>
      </c>
      <c r="E7747" s="4" t="s">
        <v>5185</v>
      </c>
      <c r="F7747" s="4" t="s">
        <v>5185</v>
      </c>
    </row>
    <row r="7748" spans="1:6" x14ac:dyDescent="0.25">
      <c r="A7748" s="4" t="str">
        <f>CONCATENATE("3071-0000-0916","")</f>
        <v>3071-0000-0916</v>
      </c>
      <c r="B7748" s="4" t="s">
        <v>2138</v>
      </c>
      <c r="C7748" s="5">
        <v>41489</v>
      </c>
      <c r="D7748" s="5">
        <v>41549</v>
      </c>
      <c r="E7748" s="4" t="s">
        <v>1857</v>
      </c>
      <c r="F7748" s="4" t="s">
        <v>1857</v>
      </c>
    </row>
    <row r="7749" spans="1:6" x14ac:dyDescent="0.25">
      <c r="A7749" s="4" t="str">
        <f>CONCATENATE("3071-0000-7847","")</f>
        <v>3071-0000-7847</v>
      </c>
      <c r="B7749" s="4" t="s">
        <v>6194</v>
      </c>
      <c r="C7749" s="5">
        <v>41489</v>
      </c>
      <c r="D7749" s="5">
        <v>41549</v>
      </c>
      <c r="E7749" s="4" t="s">
        <v>5185</v>
      </c>
      <c r="F7749" s="4" t="s">
        <v>5185</v>
      </c>
    </row>
    <row r="7750" spans="1:6" x14ac:dyDescent="0.25">
      <c r="A7750" s="4" t="str">
        <f>CONCATENATE("3071-0000-6005","")</f>
        <v>3071-0000-6005</v>
      </c>
      <c r="B7750" s="4" t="s">
        <v>7482</v>
      </c>
      <c r="C7750" s="5">
        <v>41489</v>
      </c>
      <c r="D7750" s="5">
        <v>41549</v>
      </c>
      <c r="E7750" s="4" t="s">
        <v>5185</v>
      </c>
      <c r="F7750" s="4" t="s">
        <v>5185</v>
      </c>
    </row>
    <row r="7751" spans="1:6" x14ac:dyDescent="0.25">
      <c r="A7751" s="4" t="str">
        <f>CONCATENATE("3071-0000-5992","")</f>
        <v>3071-0000-5992</v>
      </c>
      <c r="B7751" s="4" t="s">
        <v>7481</v>
      </c>
      <c r="C7751" s="5">
        <v>41489</v>
      </c>
      <c r="D7751" s="5">
        <v>41549</v>
      </c>
      <c r="E7751" s="4" t="s">
        <v>5185</v>
      </c>
      <c r="F7751" s="4" t="s">
        <v>5185</v>
      </c>
    </row>
    <row r="7752" spans="1:6" x14ac:dyDescent="0.25">
      <c r="A7752" s="4" t="str">
        <f>CONCATENATE("3071-0000-4221","")</f>
        <v>3071-0000-4221</v>
      </c>
      <c r="B7752" s="4" t="s">
        <v>4128</v>
      </c>
      <c r="C7752" s="5">
        <v>41489</v>
      </c>
      <c r="D7752" s="5">
        <v>41549</v>
      </c>
      <c r="E7752" s="4" t="s">
        <v>7</v>
      </c>
      <c r="F7752" s="4" t="s">
        <v>3902</v>
      </c>
    </row>
    <row r="7753" spans="1:6" x14ac:dyDescent="0.25">
      <c r="A7753" s="4" t="str">
        <f>CONCATENATE("3071-0000-4217","")</f>
        <v>3071-0000-4217</v>
      </c>
      <c r="B7753" s="4" t="s">
        <v>3892</v>
      </c>
      <c r="C7753" s="5">
        <v>41489</v>
      </c>
      <c r="D7753" s="5">
        <v>41549</v>
      </c>
      <c r="E7753" s="4" t="s">
        <v>7</v>
      </c>
      <c r="F7753" s="4" t="s">
        <v>3818</v>
      </c>
    </row>
    <row r="7754" spans="1:6" x14ac:dyDescent="0.25">
      <c r="A7754" s="4" t="str">
        <f>CONCATENATE("3071-0000-5419","")</f>
        <v>3071-0000-5419</v>
      </c>
      <c r="B7754" s="4" t="s">
        <v>6910</v>
      </c>
      <c r="C7754" s="5">
        <v>41489</v>
      </c>
      <c r="D7754" s="5">
        <v>41549</v>
      </c>
      <c r="E7754" s="4" t="s">
        <v>5185</v>
      </c>
      <c r="F7754" s="4" t="s">
        <v>5185</v>
      </c>
    </row>
    <row r="7755" spans="1:6" x14ac:dyDescent="0.25">
      <c r="A7755" s="4" t="str">
        <f>CONCATENATE("3071-0000-7607","")</f>
        <v>3071-0000-7607</v>
      </c>
      <c r="B7755" s="4" t="s">
        <v>4335</v>
      </c>
      <c r="C7755" s="5">
        <v>41489</v>
      </c>
      <c r="D7755" s="5">
        <v>41549</v>
      </c>
      <c r="E7755" s="4" t="s">
        <v>1410</v>
      </c>
      <c r="F7755" s="4" t="s">
        <v>1410</v>
      </c>
    </row>
    <row r="7756" spans="1:6" x14ac:dyDescent="0.25">
      <c r="A7756" s="4" t="str">
        <f>CONCATENATE("3071-0000-7710","")</f>
        <v>3071-0000-7710</v>
      </c>
      <c r="B7756" s="4" t="s">
        <v>4402</v>
      </c>
      <c r="C7756" s="5">
        <v>41489</v>
      </c>
      <c r="D7756" s="5">
        <v>41549</v>
      </c>
      <c r="E7756" s="4" t="s">
        <v>1410</v>
      </c>
      <c r="F7756" s="4" t="s">
        <v>1410</v>
      </c>
    </row>
    <row r="7757" spans="1:6" x14ac:dyDescent="0.25">
      <c r="A7757" s="4" t="str">
        <f>CONCATENATE("3071-0000-6135","")</f>
        <v>3071-0000-6135</v>
      </c>
      <c r="B7757" s="4" t="s">
        <v>7646</v>
      </c>
      <c r="C7757" s="5">
        <v>41489</v>
      </c>
      <c r="D7757" s="5">
        <v>41549</v>
      </c>
      <c r="E7757" s="4" t="s">
        <v>1410</v>
      </c>
      <c r="F7757" s="4" t="s">
        <v>1410</v>
      </c>
    </row>
    <row r="7758" spans="1:6" x14ac:dyDescent="0.25">
      <c r="A7758" s="4" t="str">
        <f>CONCATENATE("3071-0000-6191","")</f>
        <v>3071-0000-6191</v>
      </c>
      <c r="B7758" s="4" t="s">
        <v>7477</v>
      </c>
      <c r="C7758" s="5">
        <v>41489</v>
      </c>
      <c r="D7758" s="5">
        <v>41549</v>
      </c>
      <c r="E7758" s="4" t="s">
        <v>1410</v>
      </c>
      <c r="F7758" s="4" t="s">
        <v>1410</v>
      </c>
    </row>
    <row r="7759" spans="1:6" x14ac:dyDescent="0.25">
      <c r="A7759" s="4" t="str">
        <f>CONCATENATE("3071-0000-6248","")</f>
        <v>3071-0000-6248</v>
      </c>
      <c r="B7759" s="4" t="s">
        <v>7656</v>
      </c>
      <c r="C7759" s="5">
        <v>41489</v>
      </c>
      <c r="D7759" s="5">
        <v>41549</v>
      </c>
      <c r="E7759" s="4" t="s">
        <v>1410</v>
      </c>
      <c r="F7759" s="4" t="s">
        <v>1410</v>
      </c>
    </row>
    <row r="7760" spans="1:6" x14ac:dyDescent="0.25">
      <c r="A7760" s="4" t="str">
        <f>CONCATENATE("3071-0000-4590","")</f>
        <v>3071-0000-4590</v>
      </c>
      <c r="B7760" s="4" t="s">
        <v>9620</v>
      </c>
      <c r="C7760" s="5">
        <v>41489</v>
      </c>
      <c r="D7760" s="5">
        <v>41549</v>
      </c>
      <c r="E7760" s="4" t="s">
        <v>1410</v>
      </c>
      <c r="F7760" s="4" t="s">
        <v>8696</v>
      </c>
    </row>
    <row r="7761" spans="1:6" x14ac:dyDescent="0.25">
      <c r="A7761" s="4" t="str">
        <f>CONCATENATE("3071-0000-3644","")</f>
        <v>3071-0000-3644</v>
      </c>
      <c r="B7761" s="4" t="s">
        <v>1652</v>
      </c>
      <c r="C7761" s="5">
        <v>41489</v>
      </c>
      <c r="D7761" s="5">
        <v>41549</v>
      </c>
      <c r="E7761" s="4" t="s">
        <v>1410</v>
      </c>
      <c r="F7761" s="4" t="s">
        <v>1601</v>
      </c>
    </row>
    <row r="7762" spans="1:6" x14ac:dyDescent="0.25">
      <c r="A7762" s="4" t="str">
        <f>CONCATENATE("3071-0000-7482","")</f>
        <v>3071-0000-7482</v>
      </c>
      <c r="B7762" s="4" t="s">
        <v>4867</v>
      </c>
      <c r="C7762" s="5">
        <v>41489</v>
      </c>
      <c r="D7762" s="5">
        <v>41549</v>
      </c>
      <c r="E7762" s="4" t="s">
        <v>1410</v>
      </c>
      <c r="F7762" s="4" t="s">
        <v>4655</v>
      </c>
    </row>
    <row r="7763" spans="1:6" x14ac:dyDescent="0.25">
      <c r="A7763" s="4" t="str">
        <f>CONCATENATE("3071-0000-1777","")</f>
        <v>3071-0000-1777</v>
      </c>
      <c r="B7763" s="4" t="s">
        <v>2320</v>
      </c>
      <c r="C7763" s="5">
        <v>41489</v>
      </c>
      <c r="D7763" s="5">
        <v>41549</v>
      </c>
      <c r="E7763" s="4" t="s">
        <v>1381</v>
      </c>
      <c r="F7763" s="4" t="s">
        <v>2319</v>
      </c>
    </row>
    <row r="7764" spans="1:6" x14ac:dyDescent="0.25">
      <c r="A7764" s="4" t="str">
        <f>CONCATENATE("3071-0000-5894","")</f>
        <v>3071-0000-5894</v>
      </c>
      <c r="B7764" s="4" t="s">
        <v>7583</v>
      </c>
      <c r="C7764" s="5">
        <v>41489</v>
      </c>
      <c r="D7764" s="5">
        <v>41549</v>
      </c>
      <c r="E7764" s="4" t="s">
        <v>5185</v>
      </c>
      <c r="F7764" s="4" t="s">
        <v>5185</v>
      </c>
    </row>
    <row r="7765" spans="1:6" x14ac:dyDescent="0.25">
      <c r="A7765" s="4" t="str">
        <f>CONCATENATE("3071-0000-6190","")</f>
        <v>3071-0000-6190</v>
      </c>
      <c r="B7765" s="4" t="s">
        <v>7736</v>
      </c>
      <c r="C7765" s="5">
        <v>41489</v>
      </c>
      <c r="D7765" s="5">
        <v>41549</v>
      </c>
      <c r="E7765" s="4" t="s">
        <v>1410</v>
      </c>
      <c r="F7765" s="4" t="s">
        <v>1410</v>
      </c>
    </row>
    <row r="7766" spans="1:6" x14ac:dyDescent="0.25">
      <c r="A7766" s="4" t="str">
        <f>CONCATENATE("3071-0000-4811","")</f>
        <v>3071-0000-4811</v>
      </c>
      <c r="B7766" s="4" t="s">
        <v>9618</v>
      </c>
      <c r="C7766" s="5">
        <v>41489</v>
      </c>
      <c r="D7766" s="5">
        <v>41549</v>
      </c>
      <c r="E7766" s="4" t="s">
        <v>1410</v>
      </c>
      <c r="F7766" s="4" t="s">
        <v>8696</v>
      </c>
    </row>
    <row r="7767" spans="1:6" x14ac:dyDescent="0.25">
      <c r="A7767" s="4" t="str">
        <f>CONCATENATE("3071-0000-6848","")</f>
        <v>3071-0000-6848</v>
      </c>
      <c r="B7767" s="4" t="s">
        <v>8054</v>
      </c>
      <c r="C7767" s="5">
        <v>41489</v>
      </c>
      <c r="D7767" s="5">
        <v>41549</v>
      </c>
      <c r="E7767" s="4" t="s">
        <v>1410</v>
      </c>
      <c r="F7767" s="4" t="s">
        <v>1613</v>
      </c>
    </row>
    <row r="7768" spans="1:6" x14ac:dyDescent="0.25">
      <c r="A7768" s="4" t="str">
        <f>CONCATENATE("3071-0000-9461","")</f>
        <v>3071-0000-9461</v>
      </c>
      <c r="B7768" s="4" t="s">
        <v>8521</v>
      </c>
      <c r="C7768" s="5">
        <v>41489</v>
      </c>
      <c r="D7768" s="5">
        <v>41549</v>
      </c>
      <c r="E7768" s="4" t="s">
        <v>1410</v>
      </c>
      <c r="F7768" s="4" t="s">
        <v>4459</v>
      </c>
    </row>
    <row r="7769" spans="1:6" x14ac:dyDescent="0.25">
      <c r="A7769" s="4" t="str">
        <f>CONCATENATE("3071-0000-3206","")</f>
        <v>3071-0000-3206</v>
      </c>
      <c r="B7769" s="4" t="s">
        <v>1169</v>
      </c>
      <c r="C7769" s="5">
        <v>41489</v>
      </c>
      <c r="D7769" s="5">
        <v>41549</v>
      </c>
      <c r="E7769" s="4" t="s">
        <v>7</v>
      </c>
      <c r="F7769" s="4" t="s">
        <v>808</v>
      </c>
    </row>
    <row r="7770" spans="1:6" x14ac:dyDescent="0.25">
      <c r="A7770" s="4" t="str">
        <f>CONCATENATE("3071-0000-8145","")</f>
        <v>3071-0000-8145</v>
      </c>
      <c r="B7770" s="4" t="s">
        <v>5755</v>
      </c>
      <c r="C7770" s="5">
        <v>41489</v>
      </c>
      <c r="D7770" s="5">
        <v>41549</v>
      </c>
      <c r="E7770" s="4" t="s">
        <v>5185</v>
      </c>
      <c r="F7770" s="4" t="s">
        <v>5250</v>
      </c>
    </row>
    <row r="7771" spans="1:6" x14ac:dyDescent="0.25">
      <c r="A7771" s="4" t="str">
        <f>CONCATENATE("3071-0000-6246","")</f>
        <v>3071-0000-6246</v>
      </c>
      <c r="B7771" s="4" t="s">
        <v>7635</v>
      </c>
      <c r="C7771" s="5">
        <v>41489</v>
      </c>
      <c r="D7771" s="5">
        <v>41549</v>
      </c>
      <c r="E7771" s="4" t="s">
        <v>1410</v>
      </c>
      <c r="F7771" s="4" t="s">
        <v>1410</v>
      </c>
    </row>
    <row r="7772" spans="1:6" x14ac:dyDescent="0.25">
      <c r="A7772" s="4" t="str">
        <f>CONCATENATE("3071-0000-5893","")</f>
        <v>3071-0000-5893</v>
      </c>
      <c r="B7772" s="4" t="s">
        <v>7582</v>
      </c>
      <c r="C7772" s="5">
        <v>41489</v>
      </c>
      <c r="D7772" s="5">
        <v>41549</v>
      </c>
      <c r="E7772" s="4" t="s">
        <v>5185</v>
      </c>
      <c r="F7772" s="4" t="s">
        <v>5185</v>
      </c>
    </row>
    <row r="7773" spans="1:6" x14ac:dyDescent="0.25">
      <c r="A7773" s="4" t="str">
        <f>CONCATENATE("3071-0000-7457","")</f>
        <v>3071-0000-7457</v>
      </c>
      <c r="B7773" s="4" t="s">
        <v>4354</v>
      </c>
      <c r="C7773" s="5">
        <v>41489</v>
      </c>
      <c r="D7773" s="5">
        <v>41549</v>
      </c>
      <c r="E7773" s="4" t="s">
        <v>1410</v>
      </c>
      <c r="F7773" s="4" t="s">
        <v>1410</v>
      </c>
    </row>
    <row r="7774" spans="1:6" x14ac:dyDescent="0.25">
      <c r="A7774" s="4" t="str">
        <f>CONCATENATE("3071-0000-9616","")</f>
        <v>3071-0000-9616</v>
      </c>
      <c r="B7774" s="4" t="s">
        <v>8687</v>
      </c>
      <c r="C7774" s="5">
        <v>41489</v>
      </c>
      <c r="D7774" s="5">
        <v>41549</v>
      </c>
      <c r="E7774" s="4" t="s">
        <v>1410</v>
      </c>
      <c r="F7774" s="4" t="s">
        <v>4459</v>
      </c>
    </row>
    <row r="7775" spans="1:6" x14ac:dyDescent="0.25">
      <c r="A7775" s="4" t="str">
        <f>CONCATENATE("3071-0000-5716","")</f>
        <v>3071-0000-5716</v>
      </c>
      <c r="B7775" s="4" t="s">
        <v>7067</v>
      </c>
      <c r="C7775" s="5">
        <v>41489</v>
      </c>
      <c r="D7775" s="5">
        <v>41549</v>
      </c>
      <c r="E7775" s="4" t="s">
        <v>5185</v>
      </c>
      <c r="F7775" s="4" t="s">
        <v>5185</v>
      </c>
    </row>
    <row r="7776" spans="1:6" x14ac:dyDescent="0.25">
      <c r="A7776" s="4" t="str">
        <f>CONCATENATE("3071-0000-6130","")</f>
        <v>3071-0000-6130</v>
      </c>
      <c r="B7776" s="4" t="s">
        <v>7638</v>
      </c>
      <c r="C7776" s="5">
        <v>41489</v>
      </c>
      <c r="D7776" s="5">
        <v>41549</v>
      </c>
      <c r="E7776" s="4" t="s">
        <v>1410</v>
      </c>
      <c r="F7776" s="4" t="s">
        <v>1410</v>
      </c>
    </row>
    <row r="7777" spans="1:6" x14ac:dyDescent="0.25">
      <c r="A7777" s="4" t="str">
        <f>CONCATENATE("3071-0000-6127","")</f>
        <v>3071-0000-6127</v>
      </c>
      <c r="B7777" s="4" t="s">
        <v>7647</v>
      </c>
      <c r="C7777" s="5">
        <v>41489</v>
      </c>
      <c r="D7777" s="5">
        <v>41549</v>
      </c>
      <c r="E7777" s="4" t="s">
        <v>1410</v>
      </c>
      <c r="F7777" s="4" t="s">
        <v>1410</v>
      </c>
    </row>
    <row r="7778" spans="1:6" x14ac:dyDescent="0.25">
      <c r="A7778" s="4" t="str">
        <f>CONCATENATE("3071-0000-6137","")</f>
        <v>3071-0000-6137</v>
      </c>
      <c r="B7778" s="4" t="s">
        <v>7648</v>
      </c>
      <c r="C7778" s="5">
        <v>41489</v>
      </c>
      <c r="D7778" s="5">
        <v>41549</v>
      </c>
      <c r="E7778" s="4" t="s">
        <v>1410</v>
      </c>
      <c r="F7778" s="4" t="s">
        <v>1410</v>
      </c>
    </row>
    <row r="7779" spans="1:6" x14ac:dyDescent="0.25">
      <c r="A7779" s="4" t="str">
        <f>CONCATENATE("3071-0000-0917","")</f>
        <v>3071-0000-0917</v>
      </c>
      <c r="B7779" s="4" t="s">
        <v>2137</v>
      </c>
      <c r="C7779" s="5">
        <v>41489</v>
      </c>
      <c r="D7779" s="5">
        <v>41549</v>
      </c>
      <c r="E7779" s="4" t="s">
        <v>1857</v>
      </c>
      <c r="F7779" s="4" t="s">
        <v>1857</v>
      </c>
    </row>
    <row r="7780" spans="1:6" x14ac:dyDescent="0.25">
      <c r="A7780" s="4" t="str">
        <f>CONCATENATE("3071-0000-8140","")</f>
        <v>3071-0000-8140</v>
      </c>
      <c r="B7780" s="4" t="s">
        <v>6329</v>
      </c>
      <c r="C7780" s="5">
        <v>41489</v>
      </c>
      <c r="D7780" s="5">
        <v>41549</v>
      </c>
      <c r="E7780" s="4" t="s">
        <v>5185</v>
      </c>
      <c r="F7780" s="4" t="s">
        <v>5185</v>
      </c>
    </row>
    <row r="7781" spans="1:6" x14ac:dyDescent="0.25">
      <c r="A7781" s="4" t="str">
        <f>CONCATENATE("3071-0000-9126","")</f>
        <v>3071-0000-9126</v>
      </c>
      <c r="B7781" s="4" t="s">
        <v>6140</v>
      </c>
      <c r="C7781" s="5">
        <v>41489</v>
      </c>
      <c r="D7781" s="5">
        <v>41549</v>
      </c>
      <c r="E7781" s="4" t="s">
        <v>5185</v>
      </c>
      <c r="F7781" s="4" t="s">
        <v>5945</v>
      </c>
    </row>
    <row r="7782" spans="1:6" x14ac:dyDescent="0.25">
      <c r="A7782" s="4" t="str">
        <f>CONCATENATE("3071-0000-6887","")</f>
        <v>3071-0000-6887</v>
      </c>
      <c r="B7782" s="4" t="s">
        <v>4317</v>
      </c>
      <c r="C7782" s="5">
        <v>41489</v>
      </c>
      <c r="D7782" s="5">
        <v>41549</v>
      </c>
      <c r="E7782" s="4" t="s">
        <v>1410</v>
      </c>
      <c r="F7782" s="4" t="s">
        <v>1410</v>
      </c>
    </row>
    <row r="7783" spans="1:6" x14ac:dyDescent="0.25">
      <c r="A7783" s="4" t="str">
        <f>CONCATENATE("3071-0000-2296","")</f>
        <v>3071-0000-2296</v>
      </c>
      <c r="B7783" s="4" t="s">
        <v>3024</v>
      </c>
      <c r="C7783" s="5">
        <v>41489</v>
      </c>
      <c r="D7783" s="5">
        <v>41549</v>
      </c>
      <c r="E7783" s="4" t="s">
        <v>2944</v>
      </c>
      <c r="F7783" s="4" t="s">
        <v>2945</v>
      </c>
    </row>
    <row r="7784" spans="1:6" x14ac:dyDescent="0.25">
      <c r="A7784" s="4" t="str">
        <f>CONCATENATE("3071-0000-3894","")</f>
        <v>3071-0000-3894</v>
      </c>
      <c r="B7784" s="4" t="s">
        <v>4114</v>
      </c>
      <c r="C7784" s="5">
        <v>41489</v>
      </c>
      <c r="D7784" s="5">
        <v>41549</v>
      </c>
      <c r="E7784" s="4" t="s">
        <v>2944</v>
      </c>
      <c r="F7784" s="4" t="s">
        <v>3513</v>
      </c>
    </row>
    <row r="7785" spans="1:6" x14ac:dyDescent="0.25">
      <c r="A7785" s="4" t="str">
        <f>CONCATENATE("3071-0000-5920","")</f>
        <v>3071-0000-5920</v>
      </c>
      <c r="B7785" s="4" t="s">
        <v>7590</v>
      </c>
      <c r="C7785" s="5">
        <v>41489</v>
      </c>
      <c r="D7785" s="5">
        <v>41549</v>
      </c>
      <c r="E7785" s="4" t="s">
        <v>5185</v>
      </c>
      <c r="F7785" s="4" t="s">
        <v>5185</v>
      </c>
    </row>
    <row r="7786" spans="1:6" x14ac:dyDescent="0.25">
      <c r="A7786" s="4" t="str">
        <f>CONCATENATE("3071-0000-3687","")</f>
        <v>3071-0000-3687</v>
      </c>
      <c r="B7786" s="4" t="s">
        <v>1815</v>
      </c>
      <c r="C7786" s="5">
        <v>41489</v>
      </c>
      <c r="D7786" s="5">
        <v>41549</v>
      </c>
      <c r="E7786" s="4" t="s">
        <v>1410</v>
      </c>
      <c r="F7786" s="4" t="s">
        <v>1411</v>
      </c>
    </row>
    <row r="7787" spans="1:6" x14ac:dyDescent="0.25">
      <c r="A7787" s="4" t="str">
        <f>CONCATENATE("3071-0000-5915","")</f>
        <v>3071-0000-5915</v>
      </c>
      <c r="B7787" s="4" t="s">
        <v>7586</v>
      </c>
      <c r="C7787" s="5">
        <v>41489</v>
      </c>
      <c r="D7787" s="5">
        <v>41549</v>
      </c>
      <c r="E7787" s="4" t="s">
        <v>5185</v>
      </c>
      <c r="F7787" s="4" t="s">
        <v>5185</v>
      </c>
    </row>
    <row r="7788" spans="1:6" x14ac:dyDescent="0.25">
      <c r="A7788" s="4" t="str">
        <f>CONCATENATE("3071-0000-3654","")</f>
        <v>3071-0000-3654</v>
      </c>
      <c r="B7788" s="4" t="s">
        <v>1583</v>
      </c>
      <c r="C7788" s="5">
        <v>41489</v>
      </c>
      <c r="D7788" s="5">
        <v>41549</v>
      </c>
      <c r="E7788" s="4" t="s">
        <v>1410</v>
      </c>
      <c r="F7788" s="4" t="s">
        <v>1410</v>
      </c>
    </row>
    <row r="7789" spans="1:6" x14ac:dyDescent="0.25">
      <c r="A7789" s="4" t="str">
        <f>CONCATENATE("3071-0000-5815","")</f>
        <v>3071-0000-5815</v>
      </c>
      <c r="B7789" s="4" t="s">
        <v>7518</v>
      </c>
      <c r="C7789" s="5">
        <v>41489</v>
      </c>
      <c r="D7789" s="5">
        <v>41549</v>
      </c>
      <c r="E7789" s="4" t="s">
        <v>5185</v>
      </c>
      <c r="F7789" s="4" t="s">
        <v>5185</v>
      </c>
    </row>
    <row r="7790" spans="1:6" x14ac:dyDescent="0.25">
      <c r="A7790" s="4" t="str">
        <f>CONCATENATE("3071-0000-5761","")</f>
        <v>3071-0000-5761</v>
      </c>
      <c r="B7790" s="4" t="s">
        <v>7498</v>
      </c>
      <c r="C7790" s="5">
        <v>41489</v>
      </c>
      <c r="D7790" s="5">
        <v>41549</v>
      </c>
      <c r="E7790" s="4" t="s">
        <v>5185</v>
      </c>
      <c r="F7790" s="4" t="s">
        <v>5185</v>
      </c>
    </row>
    <row r="7791" spans="1:6" x14ac:dyDescent="0.25">
      <c r="A7791" s="4" t="str">
        <f>CONCATENATE("3071-0000-4043","")</f>
        <v>3071-0000-4043</v>
      </c>
      <c r="B7791" s="4" t="s">
        <v>3974</v>
      </c>
      <c r="C7791" s="5">
        <v>41489</v>
      </c>
      <c r="D7791" s="5">
        <v>41549</v>
      </c>
      <c r="E7791" s="4" t="s">
        <v>7</v>
      </c>
      <c r="F7791" s="4" t="s">
        <v>1419</v>
      </c>
    </row>
    <row r="7792" spans="1:6" x14ac:dyDescent="0.25">
      <c r="A7792" s="4" t="str">
        <f>CONCATENATE("3071-0000-4056","")</f>
        <v>3071-0000-4056</v>
      </c>
      <c r="B7792" s="4" t="s">
        <v>3968</v>
      </c>
      <c r="C7792" s="5">
        <v>41489</v>
      </c>
      <c r="D7792" s="5">
        <v>41549</v>
      </c>
      <c r="E7792" s="4" t="s">
        <v>7</v>
      </c>
      <c r="F7792" s="4" t="s">
        <v>1419</v>
      </c>
    </row>
    <row r="7793" spans="1:6" x14ac:dyDescent="0.25">
      <c r="A7793" s="4" t="str">
        <f>CONCATENATE("3071-0000-7077","")</f>
        <v>3071-0000-7077</v>
      </c>
      <c r="B7793" s="4" t="s">
        <v>4778</v>
      </c>
      <c r="C7793" s="5">
        <v>41489</v>
      </c>
      <c r="D7793" s="5">
        <v>41549</v>
      </c>
      <c r="E7793" s="4" t="s">
        <v>1410</v>
      </c>
      <c r="F7793" s="4" t="s">
        <v>1410</v>
      </c>
    </row>
    <row r="7794" spans="1:6" x14ac:dyDescent="0.25">
      <c r="A7794" s="4" t="str">
        <f>CONCATENATE("3071-0000-4142","")</f>
        <v>3071-0000-4142</v>
      </c>
      <c r="B7794" s="4" t="s">
        <v>4051</v>
      </c>
      <c r="C7794" s="5">
        <v>41489</v>
      </c>
      <c r="D7794" s="5">
        <v>41549</v>
      </c>
      <c r="E7794" s="4" t="s">
        <v>1381</v>
      </c>
      <c r="F7794" s="4" t="s">
        <v>4044</v>
      </c>
    </row>
    <row r="7795" spans="1:6" x14ac:dyDescent="0.25">
      <c r="A7795" s="4" t="str">
        <f>CONCATENATE("3071-0000-6658","")</f>
        <v>3071-0000-6658</v>
      </c>
      <c r="B7795" s="4" t="s">
        <v>8020</v>
      </c>
      <c r="C7795" s="5">
        <v>41489</v>
      </c>
      <c r="D7795" s="5">
        <v>41549</v>
      </c>
      <c r="E7795" s="4" t="s">
        <v>5185</v>
      </c>
      <c r="F7795" s="4" t="s">
        <v>5185</v>
      </c>
    </row>
    <row r="7796" spans="1:6" x14ac:dyDescent="0.25">
      <c r="A7796" s="4" t="str">
        <f>CONCATENATE("3071-0000-4047","")</f>
        <v>3071-0000-4047</v>
      </c>
      <c r="B7796" s="4" t="s">
        <v>3988</v>
      </c>
      <c r="C7796" s="5">
        <v>41489</v>
      </c>
      <c r="D7796" s="5">
        <v>41549</v>
      </c>
      <c r="E7796" s="4" t="s">
        <v>7</v>
      </c>
      <c r="F7796" s="4" t="s">
        <v>1419</v>
      </c>
    </row>
    <row r="7797" spans="1:6" x14ac:dyDescent="0.25">
      <c r="A7797" s="4" t="str">
        <f>CONCATENATE("3071-0000-4060","")</f>
        <v>3071-0000-4060</v>
      </c>
      <c r="B7797" s="4" t="s">
        <v>3979</v>
      </c>
      <c r="C7797" s="5">
        <v>41489</v>
      </c>
      <c r="D7797" s="5">
        <v>41549</v>
      </c>
      <c r="E7797" s="4" t="s">
        <v>7</v>
      </c>
      <c r="F7797" s="4" t="s">
        <v>1419</v>
      </c>
    </row>
    <row r="7798" spans="1:6" x14ac:dyDescent="0.25">
      <c r="A7798" s="4" t="str">
        <f>CONCATENATE("3071-0000-3436","")</f>
        <v>3071-0000-3436</v>
      </c>
      <c r="B7798" s="4" t="s">
        <v>1713</v>
      </c>
      <c r="C7798" s="5">
        <v>41489</v>
      </c>
      <c r="D7798" s="5">
        <v>41549</v>
      </c>
      <c r="E7798" s="4" t="s">
        <v>1410</v>
      </c>
      <c r="F7798" s="4" t="s">
        <v>1411</v>
      </c>
    </row>
    <row r="7799" spans="1:6" x14ac:dyDescent="0.25">
      <c r="A7799" s="4" t="str">
        <f>CONCATENATE("3071-0000-0932","")</f>
        <v>3071-0000-0932</v>
      </c>
      <c r="B7799" s="4" t="s">
        <v>2075</v>
      </c>
      <c r="C7799" s="5">
        <v>41489</v>
      </c>
      <c r="D7799" s="5">
        <v>41549</v>
      </c>
      <c r="E7799" s="4" t="s">
        <v>1857</v>
      </c>
      <c r="F7799" s="4" t="s">
        <v>1857</v>
      </c>
    </row>
    <row r="7800" spans="1:6" x14ac:dyDescent="0.25">
      <c r="A7800" s="4" t="str">
        <f>CONCATENATE("3071-0000-1848","")</f>
        <v>3071-0000-1848</v>
      </c>
      <c r="B7800" s="4" t="s">
        <v>2456</v>
      </c>
      <c r="C7800" s="5">
        <v>41489</v>
      </c>
      <c r="D7800" s="5">
        <v>41549</v>
      </c>
      <c r="E7800" s="4" t="s">
        <v>1381</v>
      </c>
      <c r="F7800" s="4" t="s">
        <v>2303</v>
      </c>
    </row>
    <row r="7801" spans="1:6" x14ac:dyDescent="0.25">
      <c r="A7801" s="4" t="str">
        <f>CONCATENATE("3071-0000-4585","")</f>
        <v>3071-0000-4585</v>
      </c>
      <c r="B7801" s="4" t="s">
        <v>9611</v>
      </c>
      <c r="C7801" s="5">
        <v>41489</v>
      </c>
      <c r="D7801" s="5">
        <v>41549</v>
      </c>
      <c r="E7801" s="4" t="s">
        <v>1410</v>
      </c>
      <c r="F7801" s="4" t="s">
        <v>8696</v>
      </c>
    </row>
    <row r="7802" spans="1:6" x14ac:dyDescent="0.25">
      <c r="A7802" s="4" t="str">
        <f>CONCATENATE("3071-0000-4032","")</f>
        <v>3071-0000-4032</v>
      </c>
      <c r="B7802" s="4" t="s">
        <v>4227</v>
      </c>
      <c r="C7802" s="5">
        <v>41489</v>
      </c>
      <c r="D7802" s="5">
        <v>41549</v>
      </c>
      <c r="E7802" s="4" t="s">
        <v>7</v>
      </c>
      <c r="F7802" s="4" t="s">
        <v>1419</v>
      </c>
    </row>
    <row r="7803" spans="1:6" x14ac:dyDescent="0.25">
      <c r="A7803" s="4" t="str">
        <f>CONCATENATE("3071-0000-3802","")</f>
        <v>3071-0000-3802</v>
      </c>
      <c r="B7803" s="4" t="s">
        <v>3933</v>
      </c>
      <c r="C7803" s="5">
        <v>41489</v>
      </c>
      <c r="D7803" s="5">
        <v>41549</v>
      </c>
      <c r="E7803" s="4" t="s">
        <v>7</v>
      </c>
      <c r="F7803" s="4" t="s">
        <v>1419</v>
      </c>
    </row>
    <row r="7804" spans="1:6" x14ac:dyDescent="0.25">
      <c r="A7804" s="4" t="str">
        <f>CONCATENATE("3071-0000-3944","")</f>
        <v>3071-0000-3944</v>
      </c>
      <c r="B7804" s="4" t="s">
        <v>3953</v>
      </c>
      <c r="C7804" s="5">
        <v>41489</v>
      </c>
      <c r="D7804" s="5">
        <v>41549</v>
      </c>
      <c r="E7804" s="4" t="s">
        <v>2944</v>
      </c>
      <c r="F7804" s="4" t="s">
        <v>3513</v>
      </c>
    </row>
    <row r="7805" spans="1:6" x14ac:dyDescent="0.25">
      <c r="A7805" s="4" t="str">
        <f>CONCATENATE("3071-0000-3935","")</f>
        <v>3071-0000-3935</v>
      </c>
      <c r="B7805" s="4" t="s">
        <v>3941</v>
      </c>
      <c r="C7805" s="5">
        <v>41489</v>
      </c>
      <c r="D7805" s="5">
        <v>41549</v>
      </c>
      <c r="E7805" s="4" t="s">
        <v>7</v>
      </c>
      <c r="F7805" s="4" t="s">
        <v>7</v>
      </c>
    </row>
    <row r="7806" spans="1:6" x14ac:dyDescent="0.25">
      <c r="A7806" s="4" t="str">
        <f>CONCATENATE("3071-0000-7793","")</f>
        <v>3071-0000-7793</v>
      </c>
      <c r="B7806" s="4" t="s">
        <v>5190</v>
      </c>
      <c r="C7806" s="5">
        <v>41489</v>
      </c>
      <c r="D7806" s="5">
        <v>41549</v>
      </c>
      <c r="E7806" s="4" t="s">
        <v>5185</v>
      </c>
      <c r="F7806" s="4" t="s">
        <v>5185</v>
      </c>
    </row>
    <row r="7807" spans="1:6" x14ac:dyDescent="0.25">
      <c r="A7807" s="4" t="str">
        <f>CONCATENATE("3071-0000-6043","")</f>
        <v>3071-0000-6043</v>
      </c>
      <c r="B7807" s="4" t="s">
        <v>7503</v>
      </c>
      <c r="C7807" s="5">
        <v>41489</v>
      </c>
      <c r="D7807" s="5">
        <v>41549</v>
      </c>
      <c r="E7807" s="4" t="s">
        <v>1410</v>
      </c>
      <c r="F7807" s="4" t="s">
        <v>1410</v>
      </c>
    </row>
    <row r="7808" spans="1:6" x14ac:dyDescent="0.25">
      <c r="A7808" s="4" t="str">
        <f>CONCATENATE("3071-0000-8622","")</f>
        <v>3071-0000-8622</v>
      </c>
      <c r="B7808" s="4" t="s">
        <v>5807</v>
      </c>
      <c r="C7808" s="5">
        <v>41489</v>
      </c>
      <c r="D7808" s="5">
        <v>41549</v>
      </c>
      <c r="E7808" s="4" t="s">
        <v>5185</v>
      </c>
      <c r="F7808" s="4" t="s">
        <v>5763</v>
      </c>
    </row>
    <row r="7809" spans="1:6" x14ac:dyDescent="0.25">
      <c r="A7809" s="4" t="str">
        <f>CONCATENATE("3071-0000-4593","")</f>
        <v>3071-0000-4593</v>
      </c>
      <c r="B7809" s="4" t="s">
        <v>9624</v>
      </c>
      <c r="C7809" s="5">
        <v>41489</v>
      </c>
      <c r="D7809" s="5">
        <v>41549</v>
      </c>
      <c r="E7809" s="4" t="s">
        <v>1410</v>
      </c>
      <c r="F7809" s="4" t="s">
        <v>8696</v>
      </c>
    </row>
    <row r="7810" spans="1:6" x14ac:dyDescent="0.25">
      <c r="A7810" s="4" t="str">
        <f>CONCATENATE("3071-0000-3729","")</f>
        <v>3071-0000-3729</v>
      </c>
      <c r="B7810" s="4" t="s">
        <v>1657</v>
      </c>
      <c r="C7810" s="5">
        <v>41489</v>
      </c>
      <c r="D7810" s="5">
        <v>41549</v>
      </c>
      <c r="E7810" s="4" t="s">
        <v>1410</v>
      </c>
      <c r="F7810" s="4" t="s">
        <v>1601</v>
      </c>
    </row>
    <row r="7811" spans="1:6" x14ac:dyDescent="0.25">
      <c r="A7811" s="4" t="str">
        <f>CONCATENATE("3071-0000-3642","")</f>
        <v>3071-0000-3642</v>
      </c>
      <c r="B7811" s="4" t="s">
        <v>1650</v>
      </c>
      <c r="C7811" s="5">
        <v>41489</v>
      </c>
      <c r="D7811" s="5">
        <v>41549</v>
      </c>
      <c r="E7811" s="4" t="s">
        <v>1410</v>
      </c>
      <c r="F7811" s="4" t="s">
        <v>1601</v>
      </c>
    </row>
    <row r="7812" spans="1:6" x14ac:dyDescent="0.25">
      <c r="A7812" s="4" t="str">
        <f>CONCATENATE("3071-0000-6076","")</f>
        <v>3071-0000-6076</v>
      </c>
      <c r="B7812" s="4" t="s">
        <v>7531</v>
      </c>
      <c r="C7812" s="5">
        <v>41489</v>
      </c>
      <c r="D7812" s="5">
        <v>41549</v>
      </c>
      <c r="E7812" s="4" t="s">
        <v>1410</v>
      </c>
      <c r="F7812" s="4" t="s">
        <v>1410</v>
      </c>
    </row>
    <row r="7813" spans="1:6" x14ac:dyDescent="0.25">
      <c r="A7813" s="4" t="str">
        <f>CONCATENATE("3071-0000-6140","")</f>
        <v>3071-0000-6140</v>
      </c>
      <c r="B7813" s="4" t="s">
        <v>7660</v>
      </c>
      <c r="C7813" s="5">
        <v>41489</v>
      </c>
      <c r="D7813" s="5">
        <v>41549</v>
      </c>
      <c r="E7813" s="4" t="s">
        <v>1410</v>
      </c>
      <c r="F7813" s="4" t="s">
        <v>1410</v>
      </c>
    </row>
    <row r="7814" spans="1:6" x14ac:dyDescent="0.25">
      <c r="A7814" s="4" t="str">
        <f>CONCATENATE("3071-0000-6132","")</f>
        <v>3071-0000-6132</v>
      </c>
      <c r="B7814" s="4" t="s">
        <v>7661</v>
      </c>
      <c r="C7814" s="5">
        <v>41489</v>
      </c>
      <c r="D7814" s="5">
        <v>41549</v>
      </c>
      <c r="E7814" s="4" t="s">
        <v>1410</v>
      </c>
      <c r="F7814" s="4" t="s">
        <v>1410</v>
      </c>
    </row>
    <row r="7815" spans="1:6" x14ac:dyDescent="0.25">
      <c r="A7815" s="4" t="str">
        <f>CONCATENATE("3071-0000-5895","")</f>
        <v>3071-0000-5895</v>
      </c>
      <c r="B7815" s="4" t="s">
        <v>7584</v>
      </c>
      <c r="C7815" s="5">
        <v>41489</v>
      </c>
      <c r="D7815" s="5">
        <v>41549</v>
      </c>
      <c r="E7815" s="4" t="s">
        <v>5185</v>
      </c>
      <c r="F7815" s="4" t="s">
        <v>5185</v>
      </c>
    </row>
    <row r="7816" spans="1:6" x14ac:dyDescent="0.25">
      <c r="A7816" s="4" t="str">
        <f>CONCATENATE("3071-0000-6828","")</f>
        <v>3071-0000-6828</v>
      </c>
      <c r="B7816" s="4" t="s">
        <v>7898</v>
      </c>
      <c r="C7816" s="5">
        <v>41489</v>
      </c>
      <c r="D7816" s="5">
        <v>41549</v>
      </c>
      <c r="E7816" s="4" t="s">
        <v>1410</v>
      </c>
      <c r="F7816" s="4" t="s">
        <v>4655</v>
      </c>
    </row>
    <row r="7817" spans="1:6" x14ac:dyDescent="0.25">
      <c r="A7817" s="4" t="str">
        <f>CONCATENATE("3071-0000-0669","")</f>
        <v>3071-0000-0669</v>
      </c>
      <c r="B7817" s="4" t="s">
        <v>803</v>
      </c>
      <c r="C7817" s="5">
        <v>41489</v>
      </c>
      <c r="D7817" s="5">
        <v>41549</v>
      </c>
      <c r="E7817" s="4" t="s">
        <v>7</v>
      </c>
      <c r="F7817" s="4" t="s">
        <v>7</v>
      </c>
    </row>
    <row r="7818" spans="1:6" x14ac:dyDescent="0.25">
      <c r="A7818" s="4" t="str">
        <f>CONCATENATE("3071-0000-7879","")</f>
        <v>3071-0000-7879</v>
      </c>
      <c r="B7818" s="4" t="s">
        <v>5548</v>
      </c>
      <c r="C7818" s="5">
        <v>41489</v>
      </c>
      <c r="D7818" s="5">
        <v>41549</v>
      </c>
      <c r="E7818" s="4" t="s">
        <v>5185</v>
      </c>
      <c r="F7818" s="4" t="s">
        <v>5185</v>
      </c>
    </row>
    <row r="7819" spans="1:6" x14ac:dyDescent="0.25">
      <c r="A7819" s="4" t="str">
        <f>CONCATENATE("3071-0000-4812","")</f>
        <v>3071-0000-4812</v>
      </c>
      <c r="B7819" s="4" t="s">
        <v>9582</v>
      </c>
      <c r="C7819" s="5">
        <v>41489</v>
      </c>
      <c r="D7819" s="5">
        <v>41549</v>
      </c>
      <c r="E7819" s="4" t="s">
        <v>1410</v>
      </c>
      <c r="F7819" s="4" t="s">
        <v>8696</v>
      </c>
    </row>
    <row r="7820" spans="1:6" x14ac:dyDescent="0.25">
      <c r="A7820" s="4" t="str">
        <f>CONCATENATE("3071-0000-2838","")</f>
        <v>3071-0000-2838</v>
      </c>
      <c r="B7820" s="4" t="s">
        <v>1127</v>
      </c>
      <c r="C7820" s="5">
        <v>41489</v>
      </c>
      <c r="D7820" s="5">
        <v>41549</v>
      </c>
      <c r="E7820" s="4" t="s">
        <v>7</v>
      </c>
      <c r="F7820" s="4" t="s">
        <v>808</v>
      </c>
    </row>
    <row r="7821" spans="1:6" x14ac:dyDescent="0.25">
      <c r="A7821" s="4" t="str">
        <f>CONCATENATE("3071-0000-8487","")</f>
        <v>3071-0000-8487</v>
      </c>
      <c r="B7821" s="4" t="s">
        <v>6118</v>
      </c>
      <c r="C7821" s="5">
        <v>41489</v>
      </c>
      <c r="D7821" s="5">
        <v>41549</v>
      </c>
      <c r="E7821" s="4" t="s">
        <v>5185</v>
      </c>
      <c r="F7821" s="4" t="s">
        <v>5945</v>
      </c>
    </row>
    <row r="7822" spans="1:6" x14ac:dyDescent="0.25">
      <c r="A7822" s="4" t="str">
        <f>CONCATENATE("3071-0000-4850","")</f>
        <v>3071-0000-4850</v>
      </c>
      <c r="B7822" s="4" t="s">
        <v>8874</v>
      </c>
      <c r="C7822" s="5">
        <v>41489</v>
      </c>
      <c r="D7822" s="5">
        <v>41549</v>
      </c>
      <c r="E7822" s="4" t="s">
        <v>1410</v>
      </c>
      <c r="F7822" s="4" t="s">
        <v>8696</v>
      </c>
    </row>
    <row r="7823" spans="1:6" x14ac:dyDescent="0.25">
      <c r="A7823" s="4" t="str">
        <f>CONCATENATE("3071-0000-4167","")</f>
        <v>3071-0000-4167</v>
      </c>
      <c r="B7823" s="4" t="s">
        <v>3972</v>
      </c>
      <c r="C7823" s="5">
        <v>41489</v>
      </c>
      <c r="D7823" s="5">
        <v>41549</v>
      </c>
      <c r="E7823" s="4" t="s">
        <v>7</v>
      </c>
      <c r="F7823" s="4" t="s">
        <v>1419</v>
      </c>
    </row>
    <row r="7824" spans="1:6" x14ac:dyDescent="0.25">
      <c r="A7824" s="4" t="str">
        <f>CONCATENATE("3071-0000-3851","")</f>
        <v>3071-0000-3851</v>
      </c>
      <c r="B7824" s="4" t="s">
        <v>3908</v>
      </c>
      <c r="C7824" s="5">
        <v>41489</v>
      </c>
      <c r="D7824" s="5">
        <v>41549</v>
      </c>
      <c r="E7824" s="4" t="s">
        <v>2944</v>
      </c>
      <c r="F7824" s="4" t="s">
        <v>3513</v>
      </c>
    </row>
    <row r="7825" spans="1:6" x14ac:dyDescent="0.25">
      <c r="A7825" s="4" t="str">
        <f>CONCATENATE("3071-0000-2068","")</f>
        <v>3071-0000-2068</v>
      </c>
      <c r="B7825" s="4" t="s">
        <v>3446</v>
      </c>
      <c r="C7825" s="5">
        <v>41489</v>
      </c>
      <c r="D7825" s="5">
        <v>41549</v>
      </c>
      <c r="E7825" s="4" t="s">
        <v>2944</v>
      </c>
      <c r="F7825" s="4" t="s">
        <v>2945</v>
      </c>
    </row>
    <row r="7826" spans="1:6" x14ac:dyDescent="0.25">
      <c r="A7826" s="4" t="str">
        <f>CONCATENATE("3071-0000-6417","")</f>
        <v>3071-0000-6417</v>
      </c>
      <c r="B7826" s="4" t="s">
        <v>8122</v>
      </c>
      <c r="C7826" s="5">
        <v>41489</v>
      </c>
      <c r="D7826" s="5">
        <v>41549</v>
      </c>
      <c r="E7826" s="4" t="s">
        <v>5185</v>
      </c>
      <c r="F7826" s="4" t="s">
        <v>5185</v>
      </c>
    </row>
    <row r="7827" spans="1:6" x14ac:dyDescent="0.25">
      <c r="A7827" s="4" t="str">
        <f>CONCATENATE("3071-0000-3845","")</f>
        <v>3071-0000-3845</v>
      </c>
      <c r="B7827" s="4" t="s">
        <v>3904</v>
      </c>
      <c r="C7827" s="5">
        <v>41489</v>
      </c>
      <c r="D7827" s="5">
        <v>41549</v>
      </c>
      <c r="E7827" s="4" t="s">
        <v>2944</v>
      </c>
      <c r="F7827" s="4" t="s">
        <v>3513</v>
      </c>
    </row>
    <row r="7828" spans="1:6" x14ac:dyDescent="0.25">
      <c r="A7828" s="4" t="str">
        <f>CONCATENATE("3071-0000-3332","")</f>
        <v>3071-0000-3332</v>
      </c>
      <c r="B7828" s="4" t="s">
        <v>1409</v>
      </c>
      <c r="C7828" s="5">
        <v>41489</v>
      </c>
      <c r="D7828" s="5">
        <v>41549</v>
      </c>
      <c r="E7828" s="4" t="s">
        <v>1410</v>
      </c>
      <c r="F7828" s="4" t="s">
        <v>1411</v>
      </c>
    </row>
    <row r="7829" spans="1:6" x14ac:dyDescent="0.25">
      <c r="A7829" s="4" t="str">
        <f>CONCATENATE("3071-0000-5636","")</f>
        <v>3071-0000-5636</v>
      </c>
      <c r="B7829" s="4" t="s">
        <v>7259</v>
      </c>
      <c r="C7829" s="5">
        <v>41489</v>
      </c>
      <c r="D7829" s="5">
        <v>41549</v>
      </c>
      <c r="E7829" s="4" t="s">
        <v>5185</v>
      </c>
      <c r="F7829" s="4" t="s">
        <v>5185</v>
      </c>
    </row>
    <row r="7830" spans="1:6" x14ac:dyDescent="0.25">
      <c r="A7830" s="4" t="str">
        <f>CONCATENATE("3071-0000-7530","")</f>
        <v>3071-0000-7530</v>
      </c>
      <c r="B7830" s="4" t="s">
        <v>4306</v>
      </c>
      <c r="C7830" s="5">
        <v>41489</v>
      </c>
      <c r="D7830" s="5">
        <v>41549</v>
      </c>
      <c r="E7830" s="4" t="s">
        <v>1410</v>
      </c>
      <c r="F7830" s="4" t="s">
        <v>1410</v>
      </c>
    </row>
    <row r="7831" spans="1:6" x14ac:dyDescent="0.25">
      <c r="A7831" s="4" t="str">
        <f>CONCATENATE("3071-0000-8190","")</f>
        <v>3071-0000-8190</v>
      </c>
      <c r="B7831" s="4" t="s">
        <v>5885</v>
      </c>
      <c r="C7831" s="5">
        <v>41489</v>
      </c>
      <c r="D7831" s="5">
        <v>41549</v>
      </c>
      <c r="E7831" s="4" t="s">
        <v>5185</v>
      </c>
      <c r="F7831" s="4" t="s">
        <v>5185</v>
      </c>
    </row>
    <row r="7832" spans="1:6" x14ac:dyDescent="0.25">
      <c r="A7832" s="4" t="str">
        <f>CONCATENATE("3071-0000-7617","")</f>
        <v>3071-0000-7617</v>
      </c>
      <c r="B7832" s="4" t="s">
        <v>4529</v>
      </c>
      <c r="C7832" s="5">
        <v>41489</v>
      </c>
      <c r="D7832" s="5">
        <v>41549</v>
      </c>
      <c r="E7832" s="4" t="s">
        <v>1410</v>
      </c>
      <c r="F7832" s="4" t="s">
        <v>1410</v>
      </c>
    </row>
    <row r="7833" spans="1:6" x14ac:dyDescent="0.25">
      <c r="A7833" s="4" t="str">
        <f>CONCATENATE("3071-0000-3772","")</f>
        <v>3071-0000-3772</v>
      </c>
      <c r="B7833" s="4" t="s">
        <v>1654</v>
      </c>
      <c r="C7833" s="5">
        <v>41489</v>
      </c>
      <c r="D7833" s="5">
        <v>41549</v>
      </c>
      <c r="E7833" s="4" t="s">
        <v>1410</v>
      </c>
      <c r="F7833" s="4" t="s">
        <v>1601</v>
      </c>
    </row>
    <row r="7834" spans="1:6" x14ac:dyDescent="0.25">
      <c r="A7834" s="4" t="str">
        <f>CONCATENATE("3071-0000-8768","")</f>
        <v>3071-0000-8768</v>
      </c>
      <c r="B7834" s="4" t="s">
        <v>6407</v>
      </c>
      <c r="C7834" s="5">
        <v>41489</v>
      </c>
      <c r="D7834" s="5">
        <v>41549</v>
      </c>
      <c r="E7834" s="4" t="s">
        <v>5185</v>
      </c>
      <c r="F7834" s="4" t="s">
        <v>5292</v>
      </c>
    </row>
    <row r="7835" spans="1:6" x14ac:dyDescent="0.25">
      <c r="A7835" s="4" t="str">
        <f>CONCATENATE("3071-0000-0920","")</f>
        <v>3071-0000-0920</v>
      </c>
      <c r="B7835" s="4" t="s">
        <v>2134</v>
      </c>
      <c r="C7835" s="5">
        <v>41489</v>
      </c>
      <c r="D7835" s="5">
        <v>41549</v>
      </c>
      <c r="E7835" s="4" t="s">
        <v>1857</v>
      </c>
      <c r="F7835" s="4" t="s">
        <v>1857</v>
      </c>
    </row>
    <row r="7836" spans="1:6" x14ac:dyDescent="0.25">
      <c r="A7836" s="4" t="str">
        <f>CONCATENATE("3071-0000-1549","")</f>
        <v>3071-0000-1549</v>
      </c>
      <c r="B7836" s="4" t="s">
        <v>2315</v>
      </c>
      <c r="C7836" s="5">
        <v>41489</v>
      </c>
      <c r="D7836" s="5">
        <v>41549</v>
      </c>
      <c r="E7836" s="4" t="s">
        <v>1381</v>
      </c>
      <c r="F7836" s="4" t="s">
        <v>2303</v>
      </c>
    </row>
    <row r="7837" spans="1:6" x14ac:dyDescent="0.25">
      <c r="A7837" s="4" t="str">
        <f>CONCATENATE("3071-0000-4426","")</f>
        <v>3071-0000-4426</v>
      </c>
      <c r="B7837" s="4" t="s">
        <v>9295</v>
      </c>
      <c r="C7837" s="5">
        <v>41489</v>
      </c>
      <c r="D7837" s="5">
        <v>41549</v>
      </c>
      <c r="E7837" s="4" t="s">
        <v>1410</v>
      </c>
      <c r="F7837" s="4" t="s">
        <v>8696</v>
      </c>
    </row>
    <row r="7838" spans="1:6" x14ac:dyDescent="0.25">
      <c r="A7838" s="4" t="str">
        <f>CONCATENATE("3071-0000-6615","")</f>
        <v>3071-0000-6615</v>
      </c>
      <c r="B7838" s="4" t="s">
        <v>8218</v>
      </c>
      <c r="C7838" s="5">
        <v>41489</v>
      </c>
      <c r="D7838" s="5">
        <v>41549</v>
      </c>
      <c r="E7838" s="4" t="s">
        <v>5185</v>
      </c>
      <c r="F7838" s="4" t="s">
        <v>5185</v>
      </c>
    </row>
    <row r="7839" spans="1:6" x14ac:dyDescent="0.25">
      <c r="A7839" s="4" t="str">
        <f>CONCATENATE("3071-0000-7663","")</f>
        <v>3071-0000-7663</v>
      </c>
      <c r="B7839" s="4" t="s">
        <v>4706</v>
      </c>
      <c r="C7839" s="5">
        <v>41489</v>
      </c>
      <c r="D7839" s="5">
        <v>41549</v>
      </c>
      <c r="E7839" s="4" t="s">
        <v>1410</v>
      </c>
      <c r="F7839" s="4" t="s">
        <v>4655</v>
      </c>
    </row>
    <row r="7840" spans="1:6" x14ac:dyDescent="0.25">
      <c r="A7840" s="4" t="str">
        <f>CONCATENATE("3071-0000-1607","")</f>
        <v>3071-0000-1607</v>
      </c>
      <c r="B7840" s="4" t="s">
        <v>2491</v>
      </c>
      <c r="C7840" s="5">
        <v>41489</v>
      </c>
      <c r="D7840" s="5">
        <v>41549</v>
      </c>
      <c r="E7840" s="4" t="s">
        <v>1381</v>
      </c>
      <c r="F7840" s="4" t="s">
        <v>2303</v>
      </c>
    </row>
    <row r="7841" spans="1:6" x14ac:dyDescent="0.25">
      <c r="A7841" s="4" t="str">
        <f>CONCATENATE("3071-0000-8888","")</f>
        <v>3071-0000-8888</v>
      </c>
      <c r="B7841" s="4" t="s">
        <v>5991</v>
      </c>
      <c r="C7841" s="5">
        <v>41489</v>
      </c>
      <c r="D7841" s="5">
        <v>41549</v>
      </c>
      <c r="E7841" s="4" t="s">
        <v>5185</v>
      </c>
      <c r="F7841" s="4" t="s">
        <v>5945</v>
      </c>
    </row>
    <row r="7842" spans="1:6" x14ac:dyDescent="0.25">
      <c r="A7842" s="4" t="str">
        <f>CONCATENATE("3071-0000-0469","")</f>
        <v>3071-0000-0469</v>
      </c>
      <c r="B7842" s="4" t="s">
        <v>242</v>
      </c>
      <c r="C7842" s="5">
        <v>41489</v>
      </c>
      <c r="D7842" s="5">
        <v>41549</v>
      </c>
      <c r="E7842" s="4" t="s">
        <v>7</v>
      </c>
      <c r="F7842" s="4" t="s">
        <v>7</v>
      </c>
    </row>
    <row r="7843" spans="1:6" x14ac:dyDescent="0.25">
      <c r="A7843" s="4" t="str">
        <f>CONCATENATE("3071-0000-1690","")</f>
        <v>3071-0000-1690</v>
      </c>
      <c r="B7843" s="4" t="s">
        <v>2779</v>
      </c>
      <c r="C7843" s="5">
        <v>41489</v>
      </c>
      <c r="D7843" s="5">
        <v>41549</v>
      </c>
      <c r="E7843" s="4" t="s">
        <v>1381</v>
      </c>
      <c r="F7843" s="4" t="s">
        <v>2533</v>
      </c>
    </row>
    <row r="7844" spans="1:6" x14ac:dyDescent="0.25">
      <c r="A7844" s="4" t="str">
        <f>CONCATENATE("3071-0000-1691","")</f>
        <v>3071-0000-1691</v>
      </c>
      <c r="B7844" s="4" t="s">
        <v>2780</v>
      </c>
      <c r="C7844" s="5">
        <v>41489</v>
      </c>
      <c r="D7844" s="5">
        <v>41549</v>
      </c>
      <c r="E7844" s="4" t="s">
        <v>1381</v>
      </c>
      <c r="F7844" s="4" t="s">
        <v>2533</v>
      </c>
    </row>
    <row r="7845" spans="1:6" x14ac:dyDescent="0.25">
      <c r="A7845" s="4" t="str">
        <f>CONCATENATE("3071-0000-1157","")</f>
        <v>3071-0000-1157</v>
      </c>
      <c r="B7845" s="4" t="s">
        <v>2254</v>
      </c>
      <c r="C7845" s="5">
        <v>41489</v>
      </c>
      <c r="D7845" s="5">
        <v>41549</v>
      </c>
      <c r="E7845" s="4" t="s">
        <v>1381</v>
      </c>
      <c r="F7845" s="4" t="s">
        <v>2236</v>
      </c>
    </row>
    <row r="7846" spans="1:6" x14ac:dyDescent="0.25">
      <c r="A7846" s="4" t="str">
        <f>CONCATENATE("3071-0000-1348","")</f>
        <v>3071-0000-1348</v>
      </c>
      <c r="B7846" s="4" t="s">
        <v>2485</v>
      </c>
      <c r="C7846" s="5">
        <v>41489</v>
      </c>
      <c r="D7846" s="5">
        <v>41549</v>
      </c>
      <c r="E7846" s="4" t="s">
        <v>1381</v>
      </c>
      <c r="F7846" s="4" t="s">
        <v>2303</v>
      </c>
    </row>
    <row r="7847" spans="1:6" x14ac:dyDescent="0.25">
      <c r="A7847" s="4" t="str">
        <f>CONCATENATE("3071-0000-2101","")</f>
        <v>3071-0000-2101</v>
      </c>
      <c r="B7847" s="4" t="s">
        <v>3488</v>
      </c>
      <c r="C7847" s="5">
        <v>41489</v>
      </c>
      <c r="D7847" s="5">
        <v>41549</v>
      </c>
      <c r="E7847" s="4" t="s">
        <v>2944</v>
      </c>
      <c r="F7847" s="4" t="s">
        <v>2945</v>
      </c>
    </row>
    <row r="7848" spans="1:6" x14ac:dyDescent="0.25">
      <c r="A7848" s="4" t="str">
        <f>CONCATENATE("3071-0000-8183","")</f>
        <v>3071-0000-8183</v>
      </c>
      <c r="B7848" s="4" t="s">
        <v>5988</v>
      </c>
      <c r="C7848" s="5">
        <v>41489</v>
      </c>
      <c r="D7848" s="5">
        <v>41549</v>
      </c>
      <c r="E7848" s="4" t="s">
        <v>5185</v>
      </c>
      <c r="F7848" s="4" t="s">
        <v>5185</v>
      </c>
    </row>
    <row r="7849" spans="1:6" x14ac:dyDescent="0.25">
      <c r="A7849" s="4" t="str">
        <f>CONCATENATE("3071-0000-5122","")</f>
        <v>3071-0000-5122</v>
      </c>
      <c r="B7849" s="4" t="s">
        <v>9033</v>
      </c>
      <c r="C7849" s="5">
        <v>41489</v>
      </c>
      <c r="D7849" s="5">
        <v>41549</v>
      </c>
      <c r="E7849" s="4" t="s">
        <v>7069</v>
      </c>
      <c r="F7849" s="4" t="s">
        <v>8783</v>
      </c>
    </row>
    <row r="7850" spans="1:6" x14ac:dyDescent="0.25">
      <c r="A7850" s="4" t="str">
        <f>CONCATENATE("3071-0000-2098","")</f>
        <v>3071-0000-2098</v>
      </c>
      <c r="B7850" s="4" t="s">
        <v>3484</v>
      </c>
      <c r="C7850" s="5">
        <v>41489</v>
      </c>
      <c r="D7850" s="5">
        <v>41549</v>
      </c>
      <c r="E7850" s="4" t="s">
        <v>2944</v>
      </c>
      <c r="F7850" s="4" t="s">
        <v>2945</v>
      </c>
    </row>
    <row r="7851" spans="1:6" x14ac:dyDescent="0.25">
      <c r="A7851" s="4" t="str">
        <f>CONCATENATE("3071-0000-6882","")</f>
        <v>3071-0000-6882</v>
      </c>
      <c r="B7851" s="4" t="s">
        <v>4314</v>
      </c>
      <c r="C7851" s="5">
        <v>41489</v>
      </c>
      <c r="D7851" s="5">
        <v>41549</v>
      </c>
      <c r="E7851" s="4" t="s">
        <v>1410</v>
      </c>
      <c r="F7851" s="4" t="s">
        <v>1410</v>
      </c>
    </row>
    <row r="7852" spans="1:6" x14ac:dyDescent="0.25">
      <c r="A7852" s="4" t="str">
        <f>CONCATENATE("3071-0000-3197","")</f>
        <v>3071-0000-3197</v>
      </c>
      <c r="B7852" s="4" t="s">
        <v>1376</v>
      </c>
      <c r="C7852" s="5">
        <v>41489</v>
      </c>
      <c r="D7852" s="5">
        <v>41549</v>
      </c>
      <c r="E7852" s="4" t="s">
        <v>7</v>
      </c>
      <c r="F7852" s="4" t="s">
        <v>982</v>
      </c>
    </row>
    <row r="7853" spans="1:6" x14ac:dyDescent="0.25">
      <c r="A7853" s="4" t="str">
        <f>CONCATENATE("3071-0000-5226","")</f>
        <v>3071-0000-5226</v>
      </c>
      <c r="B7853" s="4" t="s">
        <v>6690</v>
      </c>
      <c r="C7853" s="5">
        <v>41489</v>
      </c>
      <c r="D7853" s="5">
        <v>41549</v>
      </c>
      <c r="E7853" s="4" t="s">
        <v>5185</v>
      </c>
      <c r="F7853" s="4" t="s">
        <v>5185</v>
      </c>
    </row>
    <row r="7854" spans="1:6" x14ac:dyDescent="0.25">
      <c r="A7854" s="4" t="str">
        <f>CONCATENATE("3071-0000-8131","")</f>
        <v>3071-0000-8131</v>
      </c>
      <c r="B7854" s="4" t="s">
        <v>5987</v>
      </c>
      <c r="C7854" s="5">
        <v>41489</v>
      </c>
      <c r="D7854" s="5">
        <v>41549</v>
      </c>
      <c r="E7854" s="4" t="s">
        <v>5185</v>
      </c>
      <c r="F7854" s="4" t="s">
        <v>5185</v>
      </c>
    </row>
    <row r="7855" spans="1:6" x14ac:dyDescent="0.25">
      <c r="A7855" s="4" t="str">
        <f>CONCATENATE("3071-0000-1299","")</f>
        <v>3071-0000-1299</v>
      </c>
      <c r="B7855" s="4" t="s">
        <v>2411</v>
      </c>
      <c r="C7855" s="5">
        <v>41489</v>
      </c>
      <c r="D7855" s="5">
        <v>41549</v>
      </c>
      <c r="E7855" s="4" t="s">
        <v>1381</v>
      </c>
      <c r="F7855" s="4" t="s">
        <v>2303</v>
      </c>
    </row>
    <row r="7856" spans="1:6" x14ac:dyDescent="0.25">
      <c r="A7856" s="4" t="str">
        <f>CONCATENATE("3071-0000-9625","")</f>
        <v>3071-0000-9625</v>
      </c>
      <c r="B7856" s="4" t="s">
        <v>8594</v>
      </c>
      <c r="C7856" s="5">
        <v>41489</v>
      </c>
      <c r="D7856" s="5">
        <v>41549</v>
      </c>
      <c r="E7856" s="4" t="s">
        <v>1410</v>
      </c>
      <c r="F7856" s="4" t="s">
        <v>4459</v>
      </c>
    </row>
    <row r="7857" spans="1:6" x14ac:dyDescent="0.25">
      <c r="A7857" s="4" t="str">
        <f>CONCATENATE("3071-0000-6739","")</f>
        <v>3071-0000-6739</v>
      </c>
      <c r="B7857" s="4" t="s">
        <v>8233</v>
      </c>
      <c r="C7857" s="5">
        <v>41489</v>
      </c>
      <c r="D7857" s="5">
        <v>41549</v>
      </c>
      <c r="E7857" s="4" t="s">
        <v>5185</v>
      </c>
      <c r="F7857" s="4" t="s">
        <v>5185</v>
      </c>
    </row>
    <row r="7858" spans="1:6" x14ac:dyDescent="0.25">
      <c r="A7858" s="4" t="str">
        <f>CONCATENATE("3071-0000-1680","")</f>
        <v>3071-0000-1680</v>
      </c>
      <c r="B7858" s="4" t="s">
        <v>2601</v>
      </c>
      <c r="C7858" s="5">
        <v>41489</v>
      </c>
      <c r="D7858" s="5">
        <v>41549</v>
      </c>
      <c r="E7858" s="4" t="s">
        <v>1381</v>
      </c>
      <c r="F7858" s="4" t="s">
        <v>2303</v>
      </c>
    </row>
    <row r="7859" spans="1:6" x14ac:dyDescent="0.25">
      <c r="A7859" s="4" t="str">
        <f>CONCATENATE("3071-0000-1836","")</f>
        <v>3071-0000-1836</v>
      </c>
      <c r="B7859" s="4" t="s">
        <v>2424</v>
      </c>
      <c r="C7859" s="5">
        <v>41489</v>
      </c>
      <c r="D7859" s="5">
        <v>41549</v>
      </c>
      <c r="E7859" s="4" t="s">
        <v>1381</v>
      </c>
      <c r="F7859" s="4" t="s">
        <v>2303</v>
      </c>
    </row>
    <row r="7860" spans="1:6" x14ac:dyDescent="0.25">
      <c r="A7860" s="4" t="str">
        <f>CONCATENATE("3071-0000-7029","")</f>
        <v>3071-0000-7029</v>
      </c>
      <c r="B7860" s="4" t="s">
        <v>4804</v>
      </c>
      <c r="C7860" s="5">
        <v>41489</v>
      </c>
      <c r="D7860" s="5">
        <v>41549</v>
      </c>
      <c r="E7860" s="4" t="s">
        <v>1410</v>
      </c>
      <c r="F7860" s="4" t="s">
        <v>1410</v>
      </c>
    </row>
    <row r="7861" spans="1:6" x14ac:dyDescent="0.25">
      <c r="A7861" s="4" t="str">
        <f>CONCATENATE("3071-0000-2236","")</f>
        <v>3071-0000-2236</v>
      </c>
      <c r="B7861" s="4" t="s">
        <v>3090</v>
      </c>
      <c r="C7861" s="5">
        <v>41489</v>
      </c>
      <c r="D7861" s="5">
        <v>41549</v>
      </c>
      <c r="E7861" s="4" t="s">
        <v>2944</v>
      </c>
      <c r="F7861" s="4" t="s">
        <v>2945</v>
      </c>
    </row>
    <row r="7862" spans="1:6" x14ac:dyDescent="0.25">
      <c r="A7862" s="4" t="str">
        <f>CONCATENATE("3071-0000-1066","")</f>
        <v>3071-0000-1066</v>
      </c>
      <c r="B7862" s="4" t="s">
        <v>2243</v>
      </c>
      <c r="C7862" s="5">
        <v>41489</v>
      </c>
      <c r="D7862" s="5">
        <v>41549</v>
      </c>
      <c r="E7862" s="4" t="s">
        <v>1857</v>
      </c>
      <c r="F7862" s="4" t="s">
        <v>1857</v>
      </c>
    </row>
    <row r="7863" spans="1:6" x14ac:dyDescent="0.25">
      <c r="A7863" s="4" t="str">
        <f>CONCATENATE("3071-0000-1671","")</f>
        <v>3071-0000-1671</v>
      </c>
      <c r="B7863" s="4" t="s">
        <v>2590</v>
      </c>
      <c r="C7863" s="5">
        <v>41489</v>
      </c>
      <c r="D7863" s="5">
        <v>41549</v>
      </c>
      <c r="E7863" s="4" t="s">
        <v>1381</v>
      </c>
      <c r="F7863" s="4" t="s">
        <v>2303</v>
      </c>
    </row>
    <row r="7864" spans="1:6" x14ac:dyDescent="0.25">
      <c r="A7864" s="4" t="str">
        <f>CONCATENATE("3071-0000-8112","")</f>
        <v>3071-0000-8112</v>
      </c>
      <c r="B7864" s="4" t="s">
        <v>6002</v>
      </c>
      <c r="C7864" s="5">
        <v>41489</v>
      </c>
      <c r="D7864" s="5">
        <v>41549</v>
      </c>
      <c r="E7864" s="4" t="s">
        <v>5185</v>
      </c>
      <c r="F7864" s="4" t="s">
        <v>5185</v>
      </c>
    </row>
    <row r="7865" spans="1:6" x14ac:dyDescent="0.25">
      <c r="A7865" s="4" t="str">
        <f>CONCATENATE("3071-0000-2100","")</f>
        <v>3071-0000-2100</v>
      </c>
      <c r="B7865" s="4" t="s">
        <v>3487</v>
      </c>
      <c r="C7865" s="5">
        <v>41489</v>
      </c>
      <c r="D7865" s="5">
        <v>41549</v>
      </c>
      <c r="E7865" s="4" t="s">
        <v>2944</v>
      </c>
      <c r="F7865" s="4" t="s">
        <v>2945</v>
      </c>
    </row>
    <row r="7866" spans="1:6" x14ac:dyDescent="0.25">
      <c r="A7866" s="4" t="str">
        <f>CONCATENATE("3071-0000-6604","")</f>
        <v>3071-0000-6604</v>
      </c>
      <c r="B7866" s="4" t="s">
        <v>7988</v>
      </c>
      <c r="C7866" s="5">
        <v>41489</v>
      </c>
      <c r="D7866" s="5">
        <v>41549</v>
      </c>
      <c r="E7866" s="4" t="s">
        <v>5185</v>
      </c>
      <c r="F7866" s="4" t="s">
        <v>5185</v>
      </c>
    </row>
    <row r="7867" spans="1:6" x14ac:dyDescent="0.25">
      <c r="A7867" s="4" t="str">
        <f>CONCATENATE("3071-0000-1968","")</f>
        <v>3071-0000-1968</v>
      </c>
      <c r="B7867" s="4" t="s">
        <v>3097</v>
      </c>
      <c r="C7867" s="5">
        <v>41489</v>
      </c>
      <c r="D7867" s="5">
        <v>41549</v>
      </c>
      <c r="E7867" s="4" t="s">
        <v>2944</v>
      </c>
      <c r="F7867" s="4" t="s">
        <v>2945</v>
      </c>
    </row>
    <row r="7868" spans="1:6" x14ac:dyDescent="0.25">
      <c r="A7868" s="4" t="str">
        <f>CONCATENATE("3071-0000-1351","")</f>
        <v>3071-0000-1351</v>
      </c>
      <c r="B7868" s="4" t="s">
        <v>2486</v>
      </c>
      <c r="C7868" s="5">
        <v>41489</v>
      </c>
      <c r="D7868" s="5">
        <v>41549</v>
      </c>
      <c r="E7868" s="4" t="s">
        <v>1381</v>
      </c>
      <c r="F7868" s="4" t="s">
        <v>2303</v>
      </c>
    </row>
    <row r="7869" spans="1:6" x14ac:dyDescent="0.25">
      <c r="A7869" s="4" t="str">
        <f>CONCATENATE("3071-0000-2415","")</f>
        <v>3071-0000-2415</v>
      </c>
      <c r="B7869" s="4" t="s">
        <v>2998</v>
      </c>
      <c r="C7869" s="5">
        <v>41489</v>
      </c>
      <c r="D7869" s="5">
        <v>41549</v>
      </c>
      <c r="E7869" s="4" t="s">
        <v>2944</v>
      </c>
      <c r="F7869" s="4" t="s">
        <v>2945</v>
      </c>
    </row>
    <row r="7870" spans="1:6" x14ac:dyDescent="0.25">
      <c r="A7870" s="4" t="str">
        <f>CONCATENATE("3071-0000-8999","")</f>
        <v>3071-0000-8999</v>
      </c>
      <c r="B7870" s="4" t="s">
        <v>6087</v>
      </c>
      <c r="C7870" s="5">
        <v>41489</v>
      </c>
      <c r="D7870" s="5">
        <v>41549</v>
      </c>
      <c r="E7870" s="4" t="s">
        <v>5185</v>
      </c>
      <c r="F7870" s="4" t="s">
        <v>5945</v>
      </c>
    </row>
    <row r="7871" spans="1:6" x14ac:dyDescent="0.25">
      <c r="A7871" s="4" t="str">
        <f>CONCATENATE("3071-0000-6931","")</f>
        <v>3071-0000-6931</v>
      </c>
      <c r="B7871" s="4" t="s">
        <v>4564</v>
      </c>
      <c r="C7871" s="5">
        <v>41489</v>
      </c>
      <c r="D7871" s="5">
        <v>41549</v>
      </c>
      <c r="E7871" s="4" t="s">
        <v>1410</v>
      </c>
      <c r="F7871" s="4" t="s">
        <v>1410</v>
      </c>
    </row>
    <row r="7872" spans="1:6" x14ac:dyDescent="0.25">
      <c r="A7872" s="4" t="str">
        <f>CONCATENATE("3071-0000-0650","")</f>
        <v>3071-0000-0650</v>
      </c>
      <c r="B7872" s="4" t="s">
        <v>789</v>
      </c>
      <c r="C7872" s="5">
        <v>41489</v>
      </c>
      <c r="D7872" s="5">
        <v>41549</v>
      </c>
      <c r="E7872" s="4" t="s">
        <v>7</v>
      </c>
      <c r="F7872" s="4" t="s">
        <v>7</v>
      </c>
    </row>
    <row r="7873" spans="1:6" x14ac:dyDescent="0.25">
      <c r="A7873" s="4" t="str">
        <f>CONCATENATE("3071-0000-0652","")</f>
        <v>3071-0000-0652</v>
      </c>
      <c r="B7873" s="4" t="s">
        <v>785</v>
      </c>
      <c r="C7873" s="5">
        <v>41489</v>
      </c>
      <c r="D7873" s="5">
        <v>41549</v>
      </c>
      <c r="E7873" s="4" t="s">
        <v>7</v>
      </c>
      <c r="F7873" s="4" t="s">
        <v>7</v>
      </c>
    </row>
    <row r="7874" spans="1:6" x14ac:dyDescent="0.25">
      <c r="A7874" s="4" t="str">
        <f>CONCATENATE("3071-0000-1245","")</f>
        <v>3071-0000-1245</v>
      </c>
      <c r="B7874" s="4" t="s">
        <v>2331</v>
      </c>
      <c r="C7874" s="5">
        <v>41489</v>
      </c>
      <c r="D7874" s="5">
        <v>41549</v>
      </c>
      <c r="E7874" s="4" t="s">
        <v>1381</v>
      </c>
      <c r="F7874" s="4" t="s">
        <v>2303</v>
      </c>
    </row>
    <row r="7875" spans="1:6" x14ac:dyDescent="0.25">
      <c r="A7875" s="4" t="str">
        <f>CONCATENATE("3071-0000-8130","")</f>
        <v>3071-0000-8130</v>
      </c>
      <c r="B7875" s="4" t="s">
        <v>5993</v>
      </c>
      <c r="C7875" s="5">
        <v>41489</v>
      </c>
      <c r="D7875" s="5">
        <v>41549</v>
      </c>
      <c r="E7875" s="4" t="s">
        <v>5185</v>
      </c>
      <c r="F7875" s="4" t="s">
        <v>5185</v>
      </c>
    </row>
    <row r="7876" spans="1:6" x14ac:dyDescent="0.25">
      <c r="A7876" s="4" t="str">
        <f>CONCATENATE("3071-0000-8103","")</f>
        <v>3071-0000-8103</v>
      </c>
      <c r="B7876" s="4" t="s">
        <v>6019</v>
      </c>
      <c r="C7876" s="5">
        <v>41489</v>
      </c>
      <c r="D7876" s="5">
        <v>41549</v>
      </c>
      <c r="E7876" s="4" t="s">
        <v>5185</v>
      </c>
      <c r="F7876" s="4" t="s">
        <v>5185</v>
      </c>
    </row>
    <row r="7877" spans="1:6" x14ac:dyDescent="0.25">
      <c r="A7877" s="4" t="str">
        <f>CONCATENATE("3071-0000-9412","")</f>
        <v>3071-0000-9412</v>
      </c>
      <c r="B7877" s="4" t="s">
        <v>8495</v>
      </c>
      <c r="C7877" s="5">
        <v>41489</v>
      </c>
      <c r="D7877" s="5">
        <v>41549</v>
      </c>
      <c r="E7877" s="4" t="s">
        <v>1410</v>
      </c>
      <c r="F7877" s="4" t="s">
        <v>4459</v>
      </c>
    </row>
    <row r="7878" spans="1:6" x14ac:dyDescent="0.25">
      <c r="A7878" s="4" t="str">
        <f>CONCATENATE("3071-0000-5141","")</f>
        <v>3071-0000-5141</v>
      </c>
      <c r="B7878" s="4" t="s">
        <v>8959</v>
      </c>
      <c r="C7878" s="5">
        <v>41489</v>
      </c>
      <c r="D7878" s="5">
        <v>41549</v>
      </c>
      <c r="E7878" s="4" t="s">
        <v>1410</v>
      </c>
      <c r="F7878" s="4" t="s">
        <v>8903</v>
      </c>
    </row>
    <row r="7879" spans="1:6" x14ac:dyDescent="0.25">
      <c r="A7879" s="4" t="str">
        <f>CONCATENATE("3071-0000-5150","")</f>
        <v>3071-0000-5150</v>
      </c>
      <c r="B7879" s="4" t="s">
        <v>8961</v>
      </c>
      <c r="C7879" s="5">
        <v>41489</v>
      </c>
      <c r="D7879" s="5">
        <v>41549</v>
      </c>
      <c r="E7879" s="4" t="s">
        <v>1410</v>
      </c>
      <c r="F7879" s="4" t="s">
        <v>8903</v>
      </c>
    </row>
    <row r="7880" spans="1:6" x14ac:dyDescent="0.25">
      <c r="A7880" s="4" t="str">
        <f>CONCATENATE("3071-0000-3513","")</f>
        <v>3071-0000-3513</v>
      </c>
      <c r="B7880" s="4" t="s">
        <v>1833</v>
      </c>
      <c r="C7880" s="5">
        <v>41489</v>
      </c>
      <c r="D7880" s="5">
        <v>41549</v>
      </c>
      <c r="E7880" s="4" t="s">
        <v>1410</v>
      </c>
      <c r="F7880" s="4" t="s">
        <v>1411</v>
      </c>
    </row>
    <row r="7881" spans="1:6" x14ac:dyDescent="0.25">
      <c r="A7881" s="4" t="str">
        <f>CONCATENATE("3071-0000-6979","")</f>
        <v>3071-0000-6979</v>
      </c>
      <c r="B7881" s="4" t="s">
        <v>4470</v>
      </c>
      <c r="C7881" s="5">
        <v>41489</v>
      </c>
      <c r="D7881" s="5">
        <v>41549</v>
      </c>
      <c r="E7881" s="4" t="s">
        <v>1410</v>
      </c>
      <c r="F7881" s="4" t="s">
        <v>1410</v>
      </c>
    </row>
    <row r="7882" spans="1:6" x14ac:dyDescent="0.25">
      <c r="A7882" s="4" t="str">
        <f>CONCATENATE("3071-0000-7967","")</f>
        <v>3071-0000-7967</v>
      </c>
      <c r="B7882" s="4" t="s">
        <v>5375</v>
      </c>
      <c r="C7882" s="5">
        <v>41489</v>
      </c>
      <c r="D7882" s="5">
        <v>41549</v>
      </c>
      <c r="E7882" s="4" t="s">
        <v>5185</v>
      </c>
      <c r="F7882" s="4" t="s">
        <v>5185</v>
      </c>
    </row>
    <row r="7883" spans="1:6" x14ac:dyDescent="0.25">
      <c r="A7883" s="4" t="str">
        <f>CONCATENATE("3071-0000-5173","")</f>
        <v>3071-0000-5173</v>
      </c>
      <c r="B7883" s="4" t="s">
        <v>9011</v>
      </c>
      <c r="C7883" s="5">
        <v>41489</v>
      </c>
      <c r="D7883" s="5">
        <v>41549</v>
      </c>
      <c r="E7883" s="4" t="s">
        <v>1410</v>
      </c>
      <c r="F7883" s="4" t="s">
        <v>8903</v>
      </c>
    </row>
    <row r="7884" spans="1:6" x14ac:dyDescent="0.25">
      <c r="A7884" s="4" t="str">
        <f>CONCATENATE("3071-0000-5137","")</f>
        <v>3071-0000-5137</v>
      </c>
      <c r="B7884" s="4" t="s">
        <v>8972</v>
      </c>
      <c r="C7884" s="5">
        <v>41489</v>
      </c>
      <c r="D7884" s="5">
        <v>41549</v>
      </c>
      <c r="E7884" s="4" t="s">
        <v>1410</v>
      </c>
      <c r="F7884" s="4" t="s">
        <v>8903</v>
      </c>
    </row>
    <row r="7885" spans="1:6" x14ac:dyDescent="0.25">
      <c r="A7885" s="4" t="str">
        <f>CONCATENATE("3071-0000-5116","")</f>
        <v>3071-0000-5116</v>
      </c>
      <c r="B7885" s="4" t="s">
        <v>8946</v>
      </c>
      <c r="C7885" s="5">
        <v>41489</v>
      </c>
      <c r="D7885" s="5">
        <v>41549</v>
      </c>
      <c r="E7885" s="4" t="s">
        <v>1410</v>
      </c>
      <c r="F7885" s="4" t="s">
        <v>8903</v>
      </c>
    </row>
    <row r="7886" spans="1:6" x14ac:dyDescent="0.25">
      <c r="A7886" s="4" t="str">
        <f>CONCATENATE("3071-0000-4274","")</f>
        <v>3071-0000-4274</v>
      </c>
      <c r="B7886" s="4" t="s">
        <v>8892</v>
      </c>
      <c r="C7886" s="5">
        <v>41489</v>
      </c>
      <c r="D7886" s="5">
        <v>41549</v>
      </c>
      <c r="E7886" s="4" t="s">
        <v>1410</v>
      </c>
      <c r="F7886" s="4" t="s">
        <v>8696</v>
      </c>
    </row>
    <row r="7887" spans="1:6" x14ac:dyDescent="0.25">
      <c r="A7887" s="4" t="str">
        <f>CONCATENATE("3071-0000-4641","")</f>
        <v>3071-0000-4641</v>
      </c>
      <c r="B7887" s="4" t="s">
        <v>8938</v>
      </c>
      <c r="C7887" s="5">
        <v>41489</v>
      </c>
      <c r="D7887" s="5">
        <v>41549</v>
      </c>
      <c r="E7887" s="4" t="s">
        <v>1410</v>
      </c>
      <c r="F7887" s="4" t="s">
        <v>8696</v>
      </c>
    </row>
    <row r="7888" spans="1:6" x14ac:dyDescent="0.25">
      <c r="A7888" s="4" t="str">
        <f>CONCATENATE("3071-0000-9002","")</f>
        <v>3071-0000-9002</v>
      </c>
      <c r="B7888" s="4" t="s">
        <v>5459</v>
      </c>
      <c r="C7888" s="5">
        <v>41489</v>
      </c>
      <c r="D7888" s="5">
        <v>41549</v>
      </c>
      <c r="E7888" s="4" t="s">
        <v>1410</v>
      </c>
      <c r="F7888" s="4" t="s">
        <v>4616</v>
      </c>
    </row>
    <row r="7889" spans="1:6" x14ac:dyDescent="0.25">
      <c r="A7889" s="4" t="str">
        <f>CONCATENATE("3071-0000-7732","")</f>
        <v>3071-0000-7732</v>
      </c>
      <c r="B7889" s="4" t="s">
        <v>5069</v>
      </c>
      <c r="C7889" s="5">
        <v>41489</v>
      </c>
      <c r="D7889" s="5">
        <v>41549</v>
      </c>
      <c r="E7889" s="4" t="s">
        <v>1410</v>
      </c>
      <c r="F7889" s="4" t="s">
        <v>4616</v>
      </c>
    </row>
    <row r="7890" spans="1:6" x14ac:dyDescent="0.25">
      <c r="A7890" s="4" t="str">
        <f>CONCATENATE("3071-0000-6055","")</f>
        <v>3071-0000-6055</v>
      </c>
      <c r="B7890" s="4" t="s">
        <v>7021</v>
      </c>
      <c r="C7890" s="5">
        <v>41489</v>
      </c>
      <c r="D7890" s="5">
        <v>41549</v>
      </c>
      <c r="E7890" s="4" t="s">
        <v>1410</v>
      </c>
      <c r="F7890" s="4" t="s">
        <v>6798</v>
      </c>
    </row>
    <row r="7891" spans="1:6" x14ac:dyDescent="0.25">
      <c r="A7891" s="4" t="str">
        <f>CONCATENATE("3071-0000-7010","")</f>
        <v>3071-0000-7010</v>
      </c>
      <c r="B7891" s="4" t="s">
        <v>4652</v>
      </c>
      <c r="C7891" s="5">
        <v>41489</v>
      </c>
      <c r="D7891" s="5">
        <v>41549</v>
      </c>
      <c r="E7891" s="4" t="s">
        <v>1410</v>
      </c>
      <c r="F7891" s="4" t="s">
        <v>1410</v>
      </c>
    </row>
    <row r="7892" spans="1:6" x14ac:dyDescent="0.25">
      <c r="A7892" s="4" t="str">
        <f>CONCATENATE("3071-0000-7743","")</f>
        <v>3071-0000-7743</v>
      </c>
      <c r="B7892" s="4" t="s">
        <v>5056</v>
      </c>
      <c r="C7892" s="5">
        <v>41489</v>
      </c>
      <c r="D7892" s="5">
        <v>41549</v>
      </c>
      <c r="E7892" s="4" t="s">
        <v>1410</v>
      </c>
      <c r="F7892" s="4" t="s">
        <v>1410</v>
      </c>
    </row>
    <row r="7893" spans="1:6" x14ac:dyDescent="0.25">
      <c r="A7893" s="4" t="str">
        <f>CONCATENATE("3071-0000-5290","")</f>
        <v>3071-0000-5290</v>
      </c>
      <c r="B7893" s="4" t="s">
        <v>6772</v>
      </c>
      <c r="C7893" s="5">
        <v>41489</v>
      </c>
      <c r="D7893" s="5">
        <v>41549</v>
      </c>
      <c r="E7893" s="4" t="s">
        <v>5185</v>
      </c>
      <c r="F7893" s="4" t="s">
        <v>5185</v>
      </c>
    </row>
    <row r="7894" spans="1:6" x14ac:dyDescent="0.25">
      <c r="A7894" s="4" t="str">
        <f>CONCATENATE("3071-0000-8587","")</f>
        <v>3071-0000-8587</v>
      </c>
      <c r="B7894" s="4" t="s">
        <v>5452</v>
      </c>
      <c r="C7894" s="5">
        <v>41489</v>
      </c>
      <c r="D7894" s="5">
        <v>41549</v>
      </c>
      <c r="E7894" s="4" t="s">
        <v>1410</v>
      </c>
      <c r="F7894" s="4" t="s">
        <v>4616</v>
      </c>
    </row>
    <row r="7895" spans="1:6" x14ac:dyDescent="0.25">
      <c r="A7895" s="4" t="str">
        <f>CONCATENATE("3071-0000-6074","")</f>
        <v>3071-0000-6074</v>
      </c>
      <c r="B7895" s="4" t="s">
        <v>7632</v>
      </c>
      <c r="C7895" s="5">
        <v>41489</v>
      </c>
      <c r="D7895" s="5">
        <v>41549</v>
      </c>
      <c r="E7895" s="4" t="s">
        <v>1410</v>
      </c>
      <c r="F7895" s="4" t="s">
        <v>1410</v>
      </c>
    </row>
    <row r="7896" spans="1:6" x14ac:dyDescent="0.25">
      <c r="A7896" s="4" t="str">
        <f>CONCATENATE("3071-0000-5876","")</f>
        <v>3071-0000-5876</v>
      </c>
      <c r="B7896" s="4" t="s">
        <v>7287</v>
      </c>
      <c r="C7896" s="5">
        <v>41489</v>
      </c>
      <c r="D7896" s="5">
        <v>41549</v>
      </c>
      <c r="E7896" s="4" t="s">
        <v>5185</v>
      </c>
      <c r="F7896" s="4" t="s">
        <v>5185</v>
      </c>
    </row>
    <row r="7897" spans="1:6" x14ac:dyDescent="0.25">
      <c r="A7897" s="4" t="str">
        <f>CONCATENATE("3071-0000-6778","")</f>
        <v>3071-0000-6778</v>
      </c>
      <c r="B7897" s="4" t="s">
        <v>7990</v>
      </c>
      <c r="C7897" s="5">
        <v>41489</v>
      </c>
      <c r="D7897" s="5">
        <v>41549</v>
      </c>
      <c r="E7897" s="4" t="s">
        <v>1410</v>
      </c>
      <c r="F7897" s="4" t="s">
        <v>7967</v>
      </c>
    </row>
    <row r="7898" spans="1:6" x14ac:dyDescent="0.25">
      <c r="A7898" s="4" t="str">
        <f>CONCATENATE("3071-0000-5640","")</f>
        <v>3071-0000-5640</v>
      </c>
      <c r="B7898" s="4" t="s">
        <v>7264</v>
      </c>
      <c r="C7898" s="5">
        <v>41489</v>
      </c>
      <c r="D7898" s="5">
        <v>41549</v>
      </c>
      <c r="E7898" s="4" t="s">
        <v>5185</v>
      </c>
      <c r="F7898" s="4" t="s">
        <v>5185</v>
      </c>
    </row>
    <row r="7899" spans="1:6" x14ac:dyDescent="0.25">
      <c r="A7899" s="4" t="str">
        <f>CONCATENATE("3071-0000-7697","")</f>
        <v>3071-0000-7697</v>
      </c>
      <c r="B7899" s="4" t="s">
        <v>4507</v>
      </c>
      <c r="C7899" s="5">
        <v>41489</v>
      </c>
      <c r="D7899" s="5">
        <v>41549</v>
      </c>
      <c r="E7899" s="4" t="s">
        <v>1410</v>
      </c>
      <c r="F7899" s="4" t="s">
        <v>1410</v>
      </c>
    </row>
    <row r="7900" spans="1:6" x14ac:dyDescent="0.25">
      <c r="A7900" s="4" t="str">
        <f>CONCATENATE("3071-0000-5645","")</f>
        <v>3071-0000-5645</v>
      </c>
      <c r="B7900" s="4" t="s">
        <v>7271</v>
      </c>
      <c r="C7900" s="5">
        <v>41489</v>
      </c>
      <c r="D7900" s="5">
        <v>41549</v>
      </c>
      <c r="E7900" s="4" t="s">
        <v>5185</v>
      </c>
      <c r="F7900" s="4" t="s">
        <v>5185</v>
      </c>
    </row>
    <row r="7901" spans="1:6" x14ac:dyDescent="0.25">
      <c r="A7901" s="4" t="str">
        <f>CONCATENATE("3071-0000-2681","")</f>
        <v>3071-0000-2681</v>
      </c>
      <c r="B7901" s="4" t="s">
        <v>3495</v>
      </c>
      <c r="C7901" s="5">
        <v>41489</v>
      </c>
      <c r="D7901" s="5">
        <v>41549</v>
      </c>
      <c r="E7901" s="4" t="s">
        <v>2944</v>
      </c>
      <c r="F7901" s="4" t="s">
        <v>3434</v>
      </c>
    </row>
    <row r="7902" spans="1:6" x14ac:dyDescent="0.25">
      <c r="A7902" s="4" t="str">
        <f>CONCATENATE("3071-0000-5557","")</f>
        <v>3071-0000-5557</v>
      </c>
      <c r="B7902" s="4" t="s">
        <v>7320</v>
      </c>
      <c r="C7902" s="5">
        <v>41489</v>
      </c>
      <c r="D7902" s="5">
        <v>41549</v>
      </c>
      <c r="E7902" s="4" t="s">
        <v>5185</v>
      </c>
      <c r="F7902" s="4" t="s">
        <v>5185</v>
      </c>
    </row>
    <row r="7903" spans="1:6" x14ac:dyDescent="0.25">
      <c r="A7903" s="4" t="str">
        <f>CONCATENATE("3071-0000-3914","")</f>
        <v>3071-0000-3914</v>
      </c>
      <c r="B7903" s="4" t="s">
        <v>4143</v>
      </c>
      <c r="C7903" s="5">
        <v>41489</v>
      </c>
      <c r="D7903" s="5">
        <v>41549</v>
      </c>
      <c r="E7903" s="4" t="s">
        <v>2944</v>
      </c>
      <c r="F7903" s="4" t="s">
        <v>3513</v>
      </c>
    </row>
    <row r="7904" spans="1:6" x14ac:dyDescent="0.25">
      <c r="A7904" s="4" t="str">
        <f>CONCATENATE("3071-0000-6013","")</f>
        <v>3071-0000-6013</v>
      </c>
      <c r="B7904" s="4" t="s">
        <v>7251</v>
      </c>
      <c r="C7904" s="5">
        <v>41489</v>
      </c>
      <c r="D7904" s="5">
        <v>41549</v>
      </c>
      <c r="E7904" s="4" t="s">
        <v>5185</v>
      </c>
      <c r="F7904" s="4" t="s">
        <v>5185</v>
      </c>
    </row>
    <row r="7905" spans="1:6" x14ac:dyDescent="0.25">
      <c r="A7905" s="4" t="str">
        <f>CONCATENATE("3071-0000-4684","")</f>
        <v>3071-0000-4684</v>
      </c>
      <c r="B7905" s="4" t="s">
        <v>9198</v>
      </c>
      <c r="C7905" s="5">
        <v>41489</v>
      </c>
      <c r="D7905" s="5">
        <v>41549</v>
      </c>
      <c r="E7905" s="4" t="s">
        <v>1410</v>
      </c>
      <c r="F7905" s="4" t="s">
        <v>8696</v>
      </c>
    </row>
    <row r="7906" spans="1:6" x14ac:dyDescent="0.25">
      <c r="A7906" s="4" t="str">
        <f>CONCATENATE("3071-0000-5910","")</f>
        <v>3071-0000-5910</v>
      </c>
      <c r="B7906" s="4" t="s">
        <v>7617</v>
      </c>
      <c r="C7906" s="5">
        <v>41489</v>
      </c>
      <c r="D7906" s="5">
        <v>41549</v>
      </c>
      <c r="E7906" s="4" t="s">
        <v>5185</v>
      </c>
      <c r="F7906" s="4" t="s">
        <v>5185</v>
      </c>
    </row>
    <row r="7907" spans="1:6" x14ac:dyDescent="0.25">
      <c r="A7907" s="4" t="str">
        <f>CONCATENATE("3071-0000-4141","")</f>
        <v>3071-0000-4141</v>
      </c>
      <c r="B7907" s="4" t="s">
        <v>4045</v>
      </c>
      <c r="C7907" s="5">
        <v>41489</v>
      </c>
      <c r="D7907" s="5">
        <v>41549</v>
      </c>
      <c r="E7907" s="4" t="s">
        <v>1381</v>
      </c>
      <c r="F7907" s="4" t="s">
        <v>4044</v>
      </c>
    </row>
    <row r="7908" spans="1:6" x14ac:dyDescent="0.25">
      <c r="A7908" s="4" t="str">
        <f>CONCATENATE("3071-0000-7158","")</f>
        <v>3071-0000-7158</v>
      </c>
      <c r="B7908" s="4" t="s">
        <v>4996</v>
      </c>
      <c r="C7908" s="5">
        <v>41489</v>
      </c>
      <c r="D7908" s="5">
        <v>41549</v>
      </c>
      <c r="E7908" s="4" t="s">
        <v>1410</v>
      </c>
      <c r="F7908" s="4" t="s">
        <v>1410</v>
      </c>
    </row>
    <row r="7909" spans="1:6" x14ac:dyDescent="0.25">
      <c r="A7909" s="4" t="str">
        <f>CONCATENATE("3071-0000-6949","")</f>
        <v>3071-0000-6949</v>
      </c>
      <c r="B7909" s="4" t="s">
        <v>4505</v>
      </c>
      <c r="C7909" s="5">
        <v>41489</v>
      </c>
      <c r="D7909" s="5">
        <v>41549</v>
      </c>
      <c r="E7909" s="4" t="s">
        <v>1410</v>
      </c>
      <c r="F7909" s="4" t="s">
        <v>1410</v>
      </c>
    </row>
    <row r="7910" spans="1:6" x14ac:dyDescent="0.25">
      <c r="A7910" s="4" t="str">
        <f>CONCATENATE("3071-0000-6947","")</f>
        <v>3071-0000-6947</v>
      </c>
      <c r="B7910" s="4" t="s">
        <v>4510</v>
      </c>
      <c r="C7910" s="5">
        <v>41489</v>
      </c>
      <c r="D7910" s="5">
        <v>41549</v>
      </c>
      <c r="E7910" s="4" t="s">
        <v>1410</v>
      </c>
      <c r="F7910" s="4" t="s">
        <v>1410</v>
      </c>
    </row>
    <row r="7911" spans="1:6" x14ac:dyDescent="0.25">
      <c r="A7911" s="4" t="str">
        <f>CONCATENATE("3071-0000-5864","")</f>
        <v>3071-0000-5864</v>
      </c>
      <c r="B7911" s="4" t="s">
        <v>7382</v>
      </c>
      <c r="C7911" s="5">
        <v>41489</v>
      </c>
      <c r="D7911" s="5">
        <v>41549</v>
      </c>
      <c r="E7911" s="4" t="s">
        <v>5185</v>
      </c>
      <c r="F7911" s="4" t="s">
        <v>5185</v>
      </c>
    </row>
    <row r="7912" spans="1:6" x14ac:dyDescent="0.25">
      <c r="A7912" s="4" t="str">
        <f>CONCATENATE("3071-0000-5880","")</f>
        <v>3071-0000-5880</v>
      </c>
      <c r="B7912" s="4" t="s">
        <v>7562</v>
      </c>
      <c r="C7912" s="5">
        <v>41489</v>
      </c>
      <c r="D7912" s="5">
        <v>41549</v>
      </c>
      <c r="E7912" s="4" t="s">
        <v>5185</v>
      </c>
      <c r="F7912" s="4" t="s">
        <v>5185</v>
      </c>
    </row>
    <row r="7913" spans="1:6" x14ac:dyDescent="0.25">
      <c r="A7913" s="4" t="str">
        <f>CONCATENATE("3071-0000-0066","")</f>
        <v>3071-0000-0066</v>
      </c>
      <c r="B7913" s="4" t="s">
        <v>132</v>
      </c>
      <c r="C7913" s="5">
        <v>41489</v>
      </c>
      <c r="D7913" s="5">
        <v>41549</v>
      </c>
      <c r="E7913" s="4" t="s">
        <v>7</v>
      </c>
      <c r="F7913" s="4" t="s">
        <v>7</v>
      </c>
    </row>
    <row r="7914" spans="1:6" x14ac:dyDescent="0.25">
      <c r="A7914" s="4" t="str">
        <f>CONCATENATE("3071-0000-6023","")</f>
        <v>3071-0000-6023</v>
      </c>
      <c r="B7914" s="4" t="s">
        <v>7190</v>
      </c>
      <c r="C7914" s="5">
        <v>41489</v>
      </c>
      <c r="D7914" s="5">
        <v>41549</v>
      </c>
      <c r="E7914" s="4" t="s">
        <v>7069</v>
      </c>
      <c r="F7914" s="4" t="s">
        <v>7183</v>
      </c>
    </row>
    <row r="7915" spans="1:6" x14ac:dyDescent="0.25">
      <c r="A7915" s="4" t="str">
        <f>CONCATENATE("3071-0000-3164","")</f>
        <v>3071-0000-3164</v>
      </c>
      <c r="B7915" s="4" t="s">
        <v>1066</v>
      </c>
      <c r="C7915" s="5">
        <v>41489</v>
      </c>
      <c r="D7915" s="5">
        <v>41549</v>
      </c>
      <c r="E7915" s="4" t="s">
        <v>7</v>
      </c>
      <c r="F7915" s="4" t="s">
        <v>808</v>
      </c>
    </row>
    <row r="7916" spans="1:6" x14ac:dyDescent="0.25">
      <c r="A7916" s="4" t="str">
        <f>CONCATENATE("3071-0000-2910","")</f>
        <v>3071-0000-2910</v>
      </c>
      <c r="B7916" s="4" t="s">
        <v>1079</v>
      </c>
      <c r="C7916" s="5">
        <v>41489</v>
      </c>
      <c r="D7916" s="5">
        <v>41549</v>
      </c>
      <c r="E7916" s="4" t="s">
        <v>7</v>
      </c>
      <c r="F7916" s="4" t="s">
        <v>808</v>
      </c>
    </row>
    <row r="7917" spans="1:6" x14ac:dyDescent="0.25">
      <c r="A7917" s="4" t="str">
        <f>CONCATENATE("3071-0000-3083","")</f>
        <v>3071-0000-3083</v>
      </c>
      <c r="B7917" s="4" t="s">
        <v>1121</v>
      </c>
      <c r="C7917" s="5">
        <v>41489</v>
      </c>
      <c r="D7917" s="5">
        <v>41549</v>
      </c>
      <c r="E7917" s="4" t="s">
        <v>7</v>
      </c>
      <c r="F7917" s="4" t="s">
        <v>808</v>
      </c>
    </row>
    <row r="7918" spans="1:6" x14ac:dyDescent="0.25">
      <c r="A7918" s="4" t="str">
        <f>CONCATENATE("3071-0000-3292","")</f>
        <v>3071-0000-3292</v>
      </c>
      <c r="B7918" s="4" t="s">
        <v>1140</v>
      </c>
      <c r="C7918" s="5">
        <v>41489</v>
      </c>
      <c r="D7918" s="5">
        <v>41549</v>
      </c>
      <c r="E7918" s="4" t="s">
        <v>7</v>
      </c>
      <c r="F7918" s="4" t="s">
        <v>808</v>
      </c>
    </row>
    <row r="7919" spans="1:6" x14ac:dyDescent="0.25">
      <c r="A7919" s="4" t="str">
        <f>CONCATENATE("3071-0000-7872","")</f>
        <v>3071-0000-7872</v>
      </c>
      <c r="B7919" s="4" t="s">
        <v>6330</v>
      </c>
      <c r="C7919" s="5">
        <v>41489</v>
      </c>
      <c r="D7919" s="5">
        <v>41549</v>
      </c>
      <c r="E7919" s="4" t="s">
        <v>5185</v>
      </c>
      <c r="F7919" s="4" t="s">
        <v>5185</v>
      </c>
    </row>
    <row r="7920" spans="1:6" x14ac:dyDescent="0.25">
      <c r="A7920" s="4" t="str">
        <f>CONCATENATE("3071-0000-1312","")</f>
        <v>3071-0000-1312</v>
      </c>
      <c r="B7920" s="4" t="s">
        <v>2432</v>
      </c>
      <c r="C7920" s="5">
        <v>41489</v>
      </c>
      <c r="D7920" s="5">
        <v>41549</v>
      </c>
      <c r="E7920" s="4" t="s">
        <v>1381</v>
      </c>
      <c r="F7920" s="4" t="s">
        <v>2303</v>
      </c>
    </row>
    <row r="7921" spans="1:6" x14ac:dyDescent="0.25">
      <c r="A7921" s="4" t="str">
        <f>CONCATENATE("3071-0000-1763","")</f>
        <v>3071-0000-1763</v>
      </c>
      <c r="B7921" s="4" t="s">
        <v>2879</v>
      </c>
      <c r="C7921" s="5">
        <v>41489</v>
      </c>
      <c r="D7921" s="5">
        <v>41549</v>
      </c>
      <c r="E7921" s="4" t="s">
        <v>1381</v>
      </c>
      <c r="F7921" s="4" t="s">
        <v>2840</v>
      </c>
    </row>
    <row r="7922" spans="1:6" x14ac:dyDescent="0.25">
      <c r="A7922" s="4" t="str">
        <f>CONCATENATE("3071-0000-1702","")</f>
        <v>3071-0000-1702</v>
      </c>
      <c r="B7922" s="4" t="s">
        <v>2862</v>
      </c>
      <c r="C7922" s="5">
        <v>41489</v>
      </c>
      <c r="D7922" s="5">
        <v>41549</v>
      </c>
      <c r="E7922" s="4" t="s">
        <v>1381</v>
      </c>
      <c r="F7922" s="4" t="s">
        <v>2840</v>
      </c>
    </row>
    <row r="7923" spans="1:6" x14ac:dyDescent="0.25">
      <c r="A7923" s="4" t="str">
        <f>CONCATENATE("3071-0000-6171","")</f>
        <v>3071-0000-6171</v>
      </c>
      <c r="B7923" s="4" t="s">
        <v>7672</v>
      </c>
      <c r="C7923" s="5">
        <v>41489</v>
      </c>
      <c r="D7923" s="5">
        <v>41549</v>
      </c>
      <c r="E7923" s="4" t="s">
        <v>1410</v>
      </c>
      <c r="F7923" s="4" t="s">
        <v>1410</v>
      </c>
    </row>
    <row r="7924" spans="1:6" x14ac:dyDescent="0.25">
      <c r="A7924" s="4" t="str">
        <f>CONCATENATE("3071-0000-5744","")</f>
        <v>3071-0000-5744</v>
      </c>
      <c r="B7924" s="4" t="s">
        <v>7537</v>
      </c>
      <c r="C7924" s="5">
        <v>41489</v>
      </c>
      <c r="D7924" s="5">
        <v>41549</v>
      </c>
      <c r="E7924" s="4" t="s">
        <v>5185</v>
      </c>
      <c r="F7924" s="4" t="s">
        <v>5185</v>
      </c>
    </row>
    <row r="7925" spans="1:6" x14ac:dyDescent="0.25">
      <c r="A7925" s="4" t="str">
        <f>CONCATENATE("3071-0000-0833","")</f>
        <v>3071-0000-0833</v>
      </c>
      <c r="B7925" s="4" t="s">
        <v>1896</v>
      </c>
      <c r="C7925" s="5">
        <v>41489</v>
      </c>
      <c r="D7925" s="5">
        <v>41549</v>
      </c>
      <c r="E7925" s="4" t="s">
        <v>1857</v>
      </c>
      <c r="F7925" s="4" t="s">
        <v>1857</v>
      </c>
    </row>
    <row r="7926" spans="1:6" x14ac:dyDescent="0.25">
      <c r="A7926" s="4" t="str">
        <f>CONCATENATE("3071-0000-1129","")</f>
        <v>3071-0000-1129</v>
      </c>
      <c r="B7926" s="4" t="s">
        <v>1909</v>
      </c>
      <c r="C7926" s="5">
        <v>41489</v>
      </c>
      <c r="D7926" s="5">
        <v>41549</v>
      </c>
      <c r="E7926" s="4" t="s">
        <v>1857</v>
      </c>
      <c r="F7926" s="4" t="s">
        <v>1857</v>
      </c>
    </row>
    <row r="7927" spans="1:6" x14ac:dyDescent="0.25">
      <c r="A7927" s="4" t="str">
        <f>CONCATENATE("3071-0000-1494","")</f>
        <v>3071-0000-1494</v>
      </c>
      <c r="B7927" s="4" t="s">
        <v>2836</v>
      </c>
      <c r="C7927" s="5">
        <v>41489</v>
      </c>
      <c r="D7927" s="5">
        <v>41549</v>
      </c>
      <c r="E7927" s="4" t="s">
        <v>1381</v>
      </c>
      <c r="F7927" s="4" t="s">
        <v>2303</v>
      </c>
    </row>
    <row r="7928" spans="1:6" x14ac:dyDescent="0.25">
      <c r="A7928" s="4" t="str">
        <f>CONCATENATE("3071-0000-6115","")</f>
        <v>3071-0000-6115</v>
      </c>
      <c r="B7928" s="4" t="s">
        <v>7729</v>
      </c>
      <c r="C7928" s="5">
        <v>41489</v>
      </c>
      <c r="D7928" s="5">
        <v>41549</v>
      </c>
      <c r="E7928" s="4" t="s">
        <v>1410</v>
      </c>
      <c r="F7928" s="4" t="s">
        <v>1410</v>
      </c>
    </row>
    <row r="7929" spans="1:6" x14ac:dyDescent="0.25">
      <c r="A7929" s="4" t="str">
        <f>CONCATENATE("3071-0000-3378","")</f>
        <v>3071-0000-3378</v>
      </c>
      <c r="B7929" s="4" t="s">
        <v>1520</v>
      </c>
      <c r="C7929" s="5">
        <v>41489</v>
      </c>
      <c r="D7929" s="5">
        <v>41549</v>
      </c>
      <c r="E7929" s="4" t="s">
        <v>1410</v>
      </c>
      <c r="F7929" s="4" t="s">
        <v>1411</v>
      </c>
    </row>
    <row r="7930" spans="1:6" x14ac:dyDescent="0.25">
      <c r="A7930" s="4" t="str">
        <f>CONCATENATE("3071-0000-0225","")</f>
        <v>3071-0000-0225</v>
      </c>
      <c r="B7930" s="4" t="s">
        <v>474</v>
      </c>
      <c r="C7930" s="5">
        <v>41489</v>
      </c>
      <c r="D7930" s="5">
        <v>41549</v>
      </c>
      <c r="E7930" s="4" t="s">
        <v>7</v>
      </c>
      <c r="F7930" s="4" t="s">
        <v>7</v>
      </c>
    </row>
    <row r="7931" spans="1:6" x14ac:dyDescent="0.25">
      <c r="A7931" s="4" t="str">
        <f>CONCATENATE("3071-0000-5357","")</f>
        <v>3071-0000-5357</v>
      </c>
      <c r="B7931" s="4" t="s">
        <v>6859</v>
      </c>
      <c r="C7931" s="5">
        <v>41489</v>
      </c>
      <c r="D7931" s="5">
        <v>41549</v>
      </c>
      <c r="E7931" s="4" t="s">
        <v>5185</v>
      </c>
      <c r="F7931" s="4" t="s">
        <v>5185</v>
      </c>
    </row>
    <row r="7932" spans="1:6" x14ac:dyDescent="0.25">
      <c r="A7932" s="4" t="str">
        <f>CONCATENATE("3071-0000-8018","")</f>
        <v>3071-0000-8018</v>
      </c>
      <c r="B7932" s="4" t="s">
        <v>5637</v>
      </c>
      <c r="C7932" s="5">
        <v>41489</v>
      </c>
      <c r="D7932" s="5">
        <v>41549</v>
      </c>
      <c r="E7932" s="4" t="s">
        <v>5185</v>
      </c>
      <c r="F7932" s="4" t="s">
        <v>5185</v>
      </c>
    </row>
    <row r="7933" spans="1:6" x14ac:dyDescent="0.25">
      <c r="A7933" s="4" t="str">
        <f>CONCATENATE("3071-0000-9008","")</f>
        <v>3071-0000-9008</v>
      </c>
      <c r="B7933" s="4" t="s">
        <v>6335</v>
      </c>
      <c r="C7933" s="5">
        <v>41489</v>
      </c>
      <c r="D7933" s="5">
        <v>41549</v>
      </c>
      <c r="E7933" s="4" t="s">
        <v>5185</v>
      </c>
      <c r="F7933" s="4" t="s">
        <v>5292</v>
      </c>
    </row>
    <row r="7934" spans="1:6" x14ac:dyDescent="0.25">
      <c r="A7934" s="4" t="str">
        <f>CONCATENATE("3071-0000-4746","")</f>
        <v>3071-0000-4746</v>
      </c>
      <c r="B7934" s="4" t="s">
        <v>9662</v>
      </c>
      <c r="C7934" s="5">
        <v>41489</v>
      </c>
      <c r="D7934" s="5">
        <v>41549</v>
      </c>
      <c r="E7934" s="4" t="s">
        <v>1410</v>
      </c>
      <c r="F7934" s="4" t="s">
        <v>8696</v>
      </c>
    </row>
    <row r="7935" spans="1:6" x14ac:dyDescent="0.25">
      <c r="A7935" s="4" t="str">
        <f>CONCATENATE("3071-0000-8675","")</f>
        <v>3071-0000-8675</v>
      </c>
      <c r="B7935" s="4" t="s">
        <v>6392</v>
      </c>
      <c r="C7935" s="5">
        <v>41489</v>
      </c>
      <c r="D7935" s="5">
        <v>41549</v>
      </c>
      <c r="E7935" s="4" t="s">
        <v>5185</v>
      </c>
      <c r="F7935" s="4" t="s">
        <v>5945</v>
      </c>
    </row>
    <row r="7936" spans="1:6" x14ac:dyDescent="0.25">
      <c r="A7936" s="4" t="str">
        <f>CONCATENATE("3071-0000-3973","")</f>
        <v>3071-0000-3973</v>
      </c>
      <c r="B7936" s="4" t="s">
        <v>4203</v>
      </c>
      <c r="C7936" s="5">
        <v>41489</v>
      </c>
      <c r="D7936" s="5">
        <v>41549</v>
      </c>
      <c r="E7936" s="4" t="s">
        <v>2944</v>
      </c>
      <c r="F7936" s="4" t="s">
        <v>3513</v>
      </c>
    </row>
    <row r="7937" spans="1:6" x14ac:dyDescent="0.25">
      <c r="A7937" s="4" t="str">
        <f>CONCATENATE("3071-0000-4014","")</f>
        <v>3071-0000-4014</v>
      </c>
      <c r="B7937" s="4" t="s">
        <v>4228</v>
      </c>
      <c r="C7937" s="5">
        <v>41489</v>
      </c>
      <c r="D7937" s="5">
        <v>41549</v>
      </c>
      <c r="E7937" s="4" t="s">
        <v>7</v>
      </c>
      <c r="F7937" s="4" t="s">
        <v>1419</v>
      </c>
    </row>
    <row r="7938" spans="1:6" x14ac:dyDescent="0.25">
      <c r="A7938" s="4" t="str">
        <f>CONCATENATE("3071-0000-4133","")</f>
        <v>3071-0000-4133</v>
      </c>
      <c r="B7938" s="4" t="s">
        <v>4261</v>
      </c>
      <c r="C7938" s="5">
        <v>41489</v>
      </c>
      <c r="D7938" s="5">
        <v>41549</v>
      </c>
      <c r="E7938" s="4" t="s">
        <v>7</v>
      </c>
      <c r="F7938" s="4" t="s">
        <v>1419</v>
      </c>
    </row>
    <row r="7939" spans="1:6" x14ac:dyDescent="0.25">
      <c r="A7939" s="4" t="str">
        <f>CONCATENATE("3071-0000-4179","")</f>
        <v>3071-0000-4179</v>
      </c>
      <c r="B7939" s="4" t="s">
        <v>4191</v>
      </c>
      <c r="C7939" s="5">
        <v>41489</v>
      </c>
      <c r="D7939" s="5">
        <v>41549</v>
      </c>
      <c r="E7939" s="4" t="s">
        <v>7</v>
      </c>
      <c r="F7939" s="4" t="s">
        <v>3813</v>
      </c>
    </row>
    <row r="7940" spans="1:6" x14ac:dyDescent="0.25">
      <c r="A7940" s="4" t="str">
        <f>CONCATENATE("3071-0000-6045","")</f>
        <v>3071-0000-6045</v>
      </c>
      <c r="B7940" s="4" t="s">
        <v>7301</v>
      </c>
      <c r="C7940" s="5">
        <v>41489</v>
      </c>
      <c r="D7940" s="5">
        <v>41549</v>
      </c>
      <c r="E7940" s="4" t="s">
        <v>1410</v>
      </c>
      <c r="F7940" s="4" t="s">
        <v>1410</v>
      </c>
    </row>
    <row r="7941" spans="1:6" x14ac:dyDescent="0.25">
      <c r="A7941" s="4" t="str">
        <f>CONCATENATE("3071-0000-3827","")</f>
        <v>3071-0000-3827</v>
      </c>
      <c r="B7941" s="4" t="s">
        <v>4039</v>
      </c>
      <c r="C7941" s="5">
        <v>41489</v>
      </c>
      <c r="D7941" s="5">
        <v>41549</v>
      </c>
      <c r="E7941" s="4" t="s">
        <v>2944</v>
      </c>
      <c r="F7941" s="4" t="s">
        <v>3513</v>
      </c>
    </row>
    <row r="7942" spans="1:6" x14ac:dyDescent="0.25">
      <c r="A7942" s="4" t="str">
        <f>CONCATENATE("3071-0000-5394","")</f>
        <v>3071-0000-5394</v>
      </c>
      <c r="B7942" s="4" t="s">
        <v>6667</v>
      </c>
      <c r="C7942" s="5">
        <v>41489</v>
      </c>
      <c r="D7942" s="5">
        <v>41549</v>
      </c>
      <c r="E7942" s="4" t="s">
        <v>5185</v>
      </c>
      <c r="F7942" s="4" t="s">
        <v>5185</v>
      </c>
    </row>
    <row r="7943" spans="1:6" x14ac:dyDescent="0.25">
      <c r="A7943" s="4" t="str">
        <f>CONCATENATE("3071-0000-0593","")</f>
        <v>3071-0000-0593</v>
      </c>
      <c r="B7943" s="4" t="s">
        <v>158</v>
      </c>
      <c r="C7943" s="5">
        <v>41489</v>
      </c>
      <c r="D7943" s="5">
        <v>41549</v>
      </c>
      <c r="E7943" s="4" t="s">
        <v>7</v>
      </c>
      <c r="F7943" s="4" t="s">
        <v>7</v>
      </c>
    </row>
    <row r="7944" spans="1:6" x14ac:dyDescent="0.25">
      <c r="A7944" s="4" t="str">
        <f>CONCATENATE("3071-0000-6164","")</f>
        <v>3071-0000-6164</v>
      </c>
      <c r="B7944" s="4" t="s">
        <v>7682</v>
      </c>
      <c r="C7944" s="5">
        <v>41489</v>
      </c>
      <c r="D7944" s="5">
        <v>41549</v>
      </c>
      <c r="E7944" s="4" t="s">
        <v>1410</v>
      </c>
      <c r="F7944" s="4" t="s">
        <v>1410</v>
      </c>
    </row>
    <row r="7945" spans="1:6" x14ac:dyDescent="0.25">
      <c r="A7945" s="4" t="str">
        <f>CONCATENATE("3071-0000-6163","")</f>
        <v>3071-0000-6163</v>
      </c>
      <c r="B7945" s="4" t="s">
        <v>7683</v>
      </c>
      <c r="C7945" s="5">
        <v>41489</v>
      </c>
      <c r="D7945" s="5">
        <v>41549</v>
      </c>
      <c r="E7945" s="4" t="s">
        <v>1410</v>
      </c>
      <c r="F7945" s="4" t="s">
        <v>1410</v>
      </c>
    </row>
    <row r="7946" spans="1:6" x14ac:dyDescent="0.25">
      <c r="A7946" s="4" t="str">
        <f>CONCATENATE("3071-0000-8509","")</f>
        <v>3071-0000-8509</v>
      </c>
      <c r="B7946" s="4" t="s">
        <v>6342</v>
      </c>
      <c r="C7946" s="5">
        <v>41489</v>
      </c>
      <c r="D7946" s="5">
        <v>41549</v>
      </c>
      <c r="E7946" s="4" t="s">
        <v>5185</v>
      </c>
      <c r="F7946" s="4" t="s">
        <v>5945</v>
      </c>
    </row>
    <row r="7947" spans="1:6" x14ac:dyDescent="0.25">
      <c r="A7947" s="4" t="str">
        <f>CONCATENATE("3071-0000-8623","")</f>
        <v>3071-0000-8623</v>
      </c>
      <c r="B7947" s="4" t="s">
        <v>6339</v>
      </c>
      <c r="C7947" s="5">
        <v>41489</v>
      </c>
      <c r="D7947" s="5">
        <v>41549</v>
      </c>
      <c r="E7947" s="4" t="s">
        <v>5185</v>
      </c>
      <c r="F7947" s="4" t="s">
        <v>5945</v>
      </c>
    </row>
    <row r="7948" spans="1:6" x14ac:dyDescent="0.25">
      <c r="A7948" s="4" t="str">
        <f>CONCATENATE("3071-0000-0192","")</f>
        <v>3071-0000-0192</v>
      </c>
      <c r="B7948" s="4" t="s">
        <v>421</v>
      </c>
      <c r="C7948" s="5">
        <v>41489</v>
      </c>
      <c r="D7948" s="5">
        <v>41549</v>
      </c>
      <c r="E7948" s="4" t="s">
        <v>7</v>
      </c>
      <c r="F7948" s="4" t="s">
        <v>7</v>
      </c>
    </row>
    <row r="7949" spans="1:6" x14ac:dyDescent="0.25">
      <c r="A7949" s="4" t="str">
        <f>CONCATENATE("3071-0000-0549","")</f>
        <v>3071-0000-0549</v>
      </c>
      <c r="B7949" s="4" t="s">
        <v>342</v>
      </c>
      <c r="C7949" s="5">
        <v>41489</v>
      </c>
      <c r="D7949" s="5">
        <v>41549</v>
      </c>
      <c r="E7949" s="4" t="s">
        <v>7</v>
      </c>
      <c r="F7949" s="4" t="s">
        <v>7</v>
      </c>
    </row>
    <row r="7950" spans="1:6" x14ac:dyDescent="0.25">
      <c r="A7950" s="4" t="str">
        <f>CONCATENATE("3071-0000-0147","")</f>
        <v>3071-0000-0147</v>
      </c>
      <c r="B7950" s="4" t="s">
        <v>322</v>
      </c>
      <c r="C7950" s="5">
        <v>41489</v>
      </c>
      <c r="D7950" s="5">
        <v>41549</v>
      </c>
      <c r="E7950" s="4" t="s">
        <v>7</v>
      </c>
      <c r="F7950" s="4" t="s">
        <v>7</v>
      </c>
    </row>
    <row r="7951" spans="1:6" x14ac:dyDescent="0.25">
      <c r="A7951" s="4" t="str">
        <f>CONCATENATE("3071-0000-0248","")</f>
        <v>3071-0000-0248</v>
      </c>
      <c r="B7951" s="4" t="s">
        <v>310</v>
      </c>
      <c r="C7951" s="5">
        <v>41489</v>
      </c>
      <c r="D7951" s="5">
        <v>41549</v>
      </c>
      <c r="E7951" s="4" t="s">
        <v>7</v>
      </c>
      <c r="F7951" s="4" t="s">
        <v>7</v>
      </c>
    </row>
    <row r="7952" spans="1:6" x14ac:dyDescent="0.25">
      <c r="A7952" s="4" t="str">
        <f>CONCATENATE("3071-0000-0568","")</f>
        <v>3071-0000-0568</v>
      </c>
      <c r="B7952" s="4" t="s">
        <v>463</v>
      </c>
      <c r="C7952" s="5">
        <v>41489</v>
      </c>
      <c r="D7952" s="5">
        <v>41549</v>
      </c>
      <c r="E7952" s="4" t="s">
        <v>7</v>
      </c>
      <c r="F7952" s="4" t="s">
        <v>7</v>
      </c>
    </row>
    <row r="7953" spans="1:6" x14ac:dyDescent="0.25">
      <c r="A7953" s="4" t="str">
        <f>CONCATENATE("3071-0000-0318","")</f>
        <v>3071-0000-0318</v>
      </c>
      <c r="B7953" s="4" t="s">
        <v>357</v>
      </c>
      <c r="C7953" s="5">
        <v>41489</v>
      </c>
      <c r="D7953" s="5">
        <v>41549</v>
      </c>
      <c r="E7953" s="4" t="s">
        <v>7</v>
      </c>
      <c r="F7953" s="4" t="s">
        <v>7</v>
      </c>
    </row>
    <row r="7954" spans="1:6" x14ac:dyDescent="0.25">
      <c r="A7954" s="4" t="str">
        <f>CONCATENATE("3071-0000-0171","")</f>
        <v>3071-0000-0171</v>
      </c>
      <c r="B7954" s="4" t="s">
        <v>362</v>
      </c>
      <c r="C7954" s="5">
        <v>41489</v>
      </c>
      <c r="D7954" s="5">
        <v>41549</v>
      </c>
      <c r="E7954" s="4" t="s">
        <v>7</v>
      </c>
      <c r="F7954" s="4" t="s">
        <v>7</v>
      </c>
    </row>
    <row r="7955" spans="1:6" x14ac:dyDescent="0.25">
      <c r="A7955" s="4" t="str">
        <f>CONCATENATE("3071-0000-1592","")</f>
        <v>3071-0000-1592</v>
      </c>
      <c r="B7955" s="4" t="s">
        <v>2919</v>
      </c>
      <c r="C7955" s="5">
        <v>41489</v>
      </c>
      <c r="D7955" s="5">
        <v>41549</v>
      </c>
      <c r="E7955" s="4" t="s">
        <v>1381</v>
      </c>
      <c r="F7955" s="4" t="s">
        <v>2303</v>
      </c>
    </row>
    <row r="7956" spans="1:6" x14ac:dyDescent="0.25">
      <c r="A7956" s="4" t="str">
        <f>CONCATENATE("3071-0000-0240","")</f>
        <v>3071-0000-0240</v>
      </c>
      <c r="B7956" s="4" t="s">
        <v>530</v>
      </c>
      <c r="C7956" s="5">
        <v>41489</v>
      </c>
      <c r="D7956" s="5">
        <v>41549</v>
      </c>
      <c r="E7956" s="4" t="s">
        <v>7</v>
      </c>
      <c r="F7956" s="4" t="s">
        <v>7</v>
      </c>
    </row>
    <row r="7957" spans="1:6" x14ac:dyDescent="0.25">
      <c r="A7957" s="4" t="str">
        <f>CONCATENATE("3071-0000-0294","")</f>
        <v>3071-0000-0294</v>
      </c>
      <c r="B7957" s="4" t="s">
        <v>505</v>
      </c>
      <c r="C7957" s="5">
        <v>41489</v>
      </c>
      <c r="D7957" s="5">
        <v>41549</v>
      </c>
      <c r="E7957" s="4" t="s">
        <v>7</v>
      </c>
      <c r="F7957" s="4" t="s">
        <v>7</v>
      </c>
    </row>
    <row r="7958" spans="1:6" x14ac:dyDescent="0.25">
      <c r="A7958" s="4" t="str">
        <f>CONCATENATE("3071-0000-0032","")</f>
        <v>3071-0000-0032</v>
      </c>
      <c r="B7958" s="4" t="s">
        <v>55</v>
      </c>
      <c r="C7958" s="5">
        <v>41489</v>
      </c>
      <c r="D7958" s="5">
        <v>41549</v>
      </c>
      <c r="E7958" s="4" t="s">
        <v>7</v>
      </c>
      <c r="F7958" s="4" t="s">
        <v>7</v>
      </c>
    </row>
    <row r="7959" spans="1:6" x14ac:dyDescent="0.25">
      <c r="A7959" s="4" t="str">
        <f>CONCATENATE("3071-0000-0274","")</f>
        <v>3071-0000-0274</v>
      </c>
      <c r="B7959" s="4" t="s">
        <v>663</v>
      </c>
      <c r="C7959" s="5">
        <v>41489</v>
      </c>
      <c r="D7959" s="5">
        <v>41549</v>
      </c>
      <c r="E7959" s="4" t="s">
        <v>7</v>
      </c>
      <c r="F7959" s="4" t="s">
        <v>7</v>
      </c>
    </row>
    <row r="7960" spans="1:6" x14ac:dyDescent="0.25">
      <c r="A7960" s="4" t="str">
        <f>CONCATENATE("3071-0000-0091","")</f>
        <v>3071-0000-0091</v>
      </c>
      <c r="B7960" s="4" t="s">
        <v>179</v>
      </c>
      <c r="C7960" s="5">
        <v>41489</v>
      </c>
      <c r="D7960" s="5">
        <v>41549</v>
      </c>
      <c r="E7960" s="4" t="s">
        <v>7</v>
      </c>
      <c r="F7960" s="4" t="s">
        <v>7</v>
      </c>
    </row>
    <row r="7961" spans="1:6" x14ac:dyDescent="0.25">
      <c r="A7961" s="4" t="str">
        <f>CONCATENATE("3071-0000-1055","")</f>
        <v>3071-0000-1055</v>
      </c>
      <c r="B7961" s="4" t="s">
        <v>2269</v>
      </c>
      <c r="C7961" s="5">
        <v>41489</v>
      </c>
      <c r="D7961" s="5">
        <v>41549</v>
      </c>
      <c r="E7961" s="4" t="s">
        <v>1857</v>
      </c>
      <c r="F7961" s="4" t="s">
        <v>1857</v>
      </c>
    </row>
    <row r="7962" spans="1:6" x14ac:dyDescent="0.25">
      <c r="A7962" s="4" t="str">
        <f>CONCATENATE("3071-0000-3318","")</f>
        <v>3071-0000-3318</v>
      </c>
      <c r="B7962" s="4" t="s">
        <v>847</v>
      </c>
      <c r="C7962" s="5">
        <v>41489</v>
      </c>
      <c r="D7962" s="5">
        <v>41549</v>
      </c>
      <c r="E7962" s="4" t="s">
        <v>7</v>
      </c>
      <c r="F7962" s="4" t="s">
        <v>812</v>
      </c>
    </row>
    <row r="7963" spans="1:6" x14ac:dyDescent="0.25">
      <c r="A7963" s="4" t="str">
        <f>CONCATENATE("3071-0000-5219","")</f>
        <v>3071-0000-5219</v>
      </c>
      <c r="B7963" s="4" t="s">
        <v>6663</v>
      </c>
      <c r="C7963" s="5">
        <v>41489</v>
      </c>
      <c r="D7963" s="5">
        <v>41549</v>
      </c>
      <c r="E7963" s="4" t="s">
        <v>5185</v>
      </c>
      <c r="F7963" s="4" t="s">
        <v>5185</v>
      </c>
    </row>
    <row r="7964" spans="1:6" x14ac:dyDescent="0.25">
      <c r="A7964" s="4" t="str">
        <f>CONCATENATE("3071-0000-9047","")</f>
        <v>3071-0000-9047</v>
      </c>
      <c r="B7964" s="4" t="s">
        <v>5279</v>
      </c>
      <c r="C7964" s="5">
        <v>41489</v>
      </c>
      <c r="D7964" s="5">
        <v>41549</v>
      </c>
      <c r="E7964" s="4" t="s">
        <v>5185</v>
      </c>
      <c r="F7964" s="4" t="s">
        <v>5185</v>
      </c>
    </row>
    <row r="7965" spans="1:6" x14ac:dyDescent="0.25">
      <c r="A7965" s="4" t="str">
        <f>CONCATENATE("3071-0000-9061","")</f>
        <v>3071-0000-9061</v>
      </c>
      <c r="B7965" s="4" t="s">
        <v>5760</v>
      </c>
      <c r="C7965" s="5">
        <v>41489</v>
      </c>
      <c r="D7965" s="5">
        <v>41549</v>
      </c>
      <c r="E7965" s="4" t="s">
        <v>5185</v>
      </c>
      <c r="F7965" s="4" t="s">
        <v>5250</v>
      </c>
    </row>
    <row r="7966" spans="1:6" x14ac:dyDescent="0.25">
      <c r="A7966" s="4" t="str">
        <f>CONCATENATE("3071-0000-7935","")</f>
        <v>3071-0000-7935</v>
      </c>
      <c r="B7966" s="4" t="s">
        <v>5565</v>
      </c>
      <c r="C7966" s="5">
        <v>41489</v>
      </c>
      <c r="D7966" s="5">
        <v>41549</v>
      </c>
      <c r="E7966" s="4" t="s">
        <v>5185</v>
      </c>
      <c r="F7966" s="4" t="s">
        <v>5185</v>
      </c>
    </row>
    <row r="7967" spans="1:6" x14ac:dyDescent="0.25">
      <c r="A7967" s="4" t="str">
        <f>CONCATENATE("3071-0000-6018","")</f>
        <v>3071-0000-6018</v>
      </c>
      <c r="B7967" s="4" t="s">
        <v>7047</v>
      </c>
      <c r="C7967" s="5">
        <v>41489</v>
      </c>
      <c r="D7967" s="5">
        <v>41549</v>
      </c>
      <c r="E7967" s="4" t="s">
        <v>1410</v>
      </c>
      <c r="F7967" s="4" t="s">
        <v>6798</v>
      </c>
    </row>
    <row r="7968" spans="1:6" x14ac:dyDescent="0.25">
      <c r="A7968" s="4" t="str">
        <f>CONCATENATE("3071-0000-4175","")</f>
        <v>3071-0000-4175</v>
      </c>
      <c r="B7968" s="4" t="s">
        <v>4106</v>
      </c>
      <c r="C7968" s="5">
        <v>41489</v>
      </c>
      <c r="D7968" s="5">
        <v>41549</v>
      </c>
      <c r="E7968" s="4" t="s">
        <v>1381</v>
      </c>
      <c r="F7968" s="4" t="s">
        <v>3698</v>
      </c>
    </row>
    <row r="7969" spans="1:6" x14ac:dyDescent="0.25">
      <c r="A7969" s="4" t="str">
        <f>CONCATENATE("3071-0000-5589","")</f>
        <v>3071-0000-5589</v>
      </c>
      <c r="B7969" s="4" t="s">
        <v>7060</v>
      </c>
      <c r="C7969" s="5">
        <v>41489</v>
      </c>
      <c r="D7969" s="5">
        <v>41549</v>
      </c>
      <c r="E7969" s="4" t="s">
        <v>5185</v>
      </c>
      <c r="F7969" s="4" t="s">
        <v>5185</v>
      </c>
    </row>
    <row r="7970" spans="1:6" x14ac:dyDescent="0.25">
      <c r="A7970" s="4" t="str">
        <f>CONCATENATE("3071-0000-2791","")</f>
        <v>3071-0000-2791</v>
      </c>
      <c r="B7970" s="4" t="s">
        <v>988</v>
      </c>
      <c r="C7970" s="5">
        <v>41489</v>
      </c>
      <c r="D7970" s="5">
        <v>41549</v>
      </c>
      <c r="E7970" s="4" t="s">
        <v>7</v>
      </c>
      <c r="F7970" s="4" t="s">
        <v>808</v>
      </c>
    </row>
    <row r="7971" spans="1:6" x14ac:dyDescent="0.25">
      <c r="A7971" s="4" t="str">
        <f>CONCATENATE("3071-0000-3045","")</f>
        <v>3071-0000-3045</v>
      </c>
      <c r="B7971" s="4" t="s">
        <v>1063</v>
      </c>
      <c r="C7971" s="5">
        <v>41489</v>
      </c>
      <c r="D7971" s="5">
        <v>41549</v>
      </c>
      <c r="E7971" s="4" t="s">
        <v>7</v>
      </c>
      <c r="F7971" s="4" t="s">
        <v>808</v>
      </c>
    </row>
    <row r="7972" spans="1:6" x14ac:dyDescent="0.25">
      <c r="A7972" s="4" t="str">
        <f>CONCATENATE("3071-0000-7458","")</f>
        <v>3071-0000-7458</v>
      </c>
      <c r="B7972" s="4" t="s">
        <v>4541</v>
      </c>
      <c r="C7972" s="5">
        <v>41489</v>
      </c>
      <c r="D7972" s="5">
        <v>41549</v>
      </c>
      <c r="E7972" s="4" t="s">
        <v>1410</v>
      </c>
      <c r="F7972" s="4" t="s">
        <v>1410</v>
      </c>
    </row>
    <row r="7973" spans="1:6" x14ac:dyDescent="0.25">
      <c r="A7973" s="4" t="str">
        <f>CONCATENATE("3071-0000-7753","")</f>
        <v>3071-0000-7753</v>
      </c>
      <c r="B7973" s="4" t="s">
        <v>5047</v>
      </c>
      <c r="C7973" s="5">
        <v>41489</v>
      </c>
      <c r="D7973" s="5">
        <v>41549</v>
      </c>
      <c r="E7973" s="4" t="s">
        <v>1410</v>
      </c>
      <c r="F7973" s="4" t="s">
        <v>4616</v>
      </c>
    </row>
    <row r="7974" spans="1:6" x14ac:dyDescent="0.25">
      <c r="A7974" s="4" t="str">
        <f>CONCATENATE("3071-0000-3445","")</f>
        <v>3071-0000-3445</v>
      </c>
      <c r="B7974" s="4" t="s">
        <v>1731</v>
      </c>
      <c r="C7974" s="5">
        <v>41489</v>
      </c>
      <c r="D7974" s="5">
        <v>41549</v>
      </c>
      <c r="E7974" s="4" t="s">
        <v>1410</v>
      </c>
      <c r="F7974" s="4" t="s">
        <v>1411</v>
      </c>
    </row>
    <row r="7975" spans="1:6" x14ac:dyDescent="0.25">
      <c r="A7975" s="4" t="str">
        <f>CONCATENATE("3071-0000-8121","")</f>
        <v>3071-0000-8121</v>
      </c>
      <c r="B7975" s="4" t="s">
        <v>5996</v>
      </c>
      <c r="C7975" s="5">
        <v>41489</v>
      </c>
      <c r="D7975" s="5">
        <v>41549</v>
      </c>
      <c r="E7975" s="4" t="s">
        <v>5185</v>
      </c>
      <c r="F7975" s="4" t="s">
        <v>5185</v>
      </c>
    </row>
    <row r="7976" spans="1:6" x14ac:dyDescent="0.25">
      <c r="A7976" s="4" t="str">
        <f>CONCATENATE("3071-0000-0686","")</f>
        <v>3071-0000-0686</v>
      </c>
      <c r="B7976" s="4" t="s">
        <v>550</v>
      </c>
      <c r="C7976" s="5">
        <v>41489</v>
      </c>
      <c r="D7976" s="5">
        <v>41549</v>
      </c>
      <c r="E7976" s="4" t="s">
        <v>7</v>
      </c>
      <c r="F7976" s="4" t="s">
        <v>273</v>
      </c>
    </row>
    <row r="7977" spans="1:6" x14ac:dyDescent="0.25">
      <c r="A7977" s="4" t="str">
        <f>CONCATENATE("3071-0000-3855","")</f>
        <v>3071-0000-3855</v>
      </c>
      <c r="B7977" s="4" t="s">
        <v>4000</v>
      </c>
      <c r="C7977" s="5">
        <v>41489</v>
      </c>
      <c r="D7977" s="5">
        <v>41549</v>
      </c>
      <c r="E7977" s="4" t="s">
        <v>1381</v>
      </c>
      <c r="F7977" s="4" t="s">
        <v>3994</v>
      </c>
    </row>
    <row r="7978" spans="1:6" x14ac:dyDescent="0.25">
      <c r="A7978" s="4" t="str">
        <f>CONCATENATE("3071-0000-2522","")</f>
        <v>3071-0000-2522</v>
      </c>
      <c r="B7978" s="4" t="s">
        <v>3630</v>
      </c>
      <c r="C7978" s="5">
        <v>41489</v>
      </c>
      <c r="D7978" s="5">
        <v>41549</v>
      </c>
      <c r="E7978" s="4" t="s">
        <v>2944</v>
      </c>
      <c r="F7978" s="4" t="s">
        <v>3567</v>
      </c>
    </row>
    <row r="7979" spans="1:6" x14ac:dyDescent="0.25">
      <c r="A7979" s="4" t="str">
        <f>CONCATENATE("3071-0000-0352","")</f>
        <v>3071-0000-0352</v>
      </c>
      <c r="B7979" s="4" t="s">
        <v>759</v>
      </c>
      <c r="C7979" s="5">
        <v>41489</v>
      </c>
      <c r="D7979" s="5">
        <v>41549</v>
      </c>
      <c r="E7979" s="4" t="s">
        <v>7</v>
      </c>
      <c r="F7979" s="4" t="s">
        <v>7</v>
      </c>
    </row>
    <row r="7980" spans="1:6" x14ac:dyDescent="0.25">
      <c r="A7980" s="4" t="str">
        <f>CONCATENATE("3071-0000-0572","")</f>
        <v>3071-0000-0572</v>
      </c>
      <c r="B7980" s="4" t="s">
        <v>729</v>
      </c>
      <c r="C7980" s="5">
        <v>41489</v>
      </c>
      <c r="D7980" s="5">
        <v>41549</v>
      </c>
      <c r="E7980" s="4" t="s">
        <v>7</v>
      </c>
      <c r="F7980" s="4" t="s">
        <v>273</v>
      </c>
    </row>
    <row r="7981" spans="1:6" x14ac:dyDescent="0.25">
      <c r="A7981" s="4" t="str">
        <f>CONCATENATE("3071-0000-3104","")</f>
        <v>3071-0000-3104</v>
      </c>
      <c r="B7981" s="4" t="s">
        <v>822</v>
      </c>
      <c r="C7981" s="5">
        <v>41489</v>
      </c>
      <c r="D7981" s="5">
        <v>41549</v>
      </c>
      <c r="E7981" s="4" t="s">
        <v>7</v>
      </c>
      <c r="F7981" s="4" t="s">
        <v>812</v>
      </c>
    </row>
    <row r="7982" spans="1:6" x14ac:dyDescent="0.25">
      <c r="A7982" s="4" t="str">
        <f>CONCATENATE("3071-0000-0007","")</f>
        <v>3071-0000-0007</v>
      </c>
      <c r="B7982" s="4" t="s">
        <v>13</v>
      </c>
      <c r="C7982" s="5">
        <v>41489</v>
      </c>
      <c r="D7982" s="5">
        <v>41549</v>
      </c>
      <c r="E7982" s="4" t="s">
        <v>7</v>
      </c>
      <c r="F7982" s="4" t="s">
        <v>7</v>
      </c>
    </row>
    <row r="7983" spans="1:6" x14ac:dyDescent="0.25">
      <c r="A7983" s="4" t="str">
        <f>CONCATENATE("3071-0000-8451","")</f>
        <v>3071-0000-8451</v>
      </c>
      <c r="B7983" s="4" t="s">
        <v>6078</v>
      </c>
      <c r="C7983" s="5">
        <v>41489</v>
      </c>
      <c r="D7983" s="5">
        <v>41549</v>
      </c>
      <c r="E7983" s="4" t="s">
        <v>5185</v>
      </c>
      <c r="F7983" s="4" t="s">
        <v>5945</v>
      </c>
    </row>
    <row r="7984" spans="1:6" x14ac:dyDescent="0.25">
      <c r="A7984" s="4" t="str">
        <f>CONCATENATE("3071-0000-9191","")</f>
        <v>3071-0000-9191</v>
      </c>
      <c r="B7984" s="4" t="s">
        <v>6171</v>
      </c>
      <c r="C7984" s="5">
        <v>41489</v>
      </c>
      <c r="D7984" s="5">
        <v>41549</v>
      </c>
      <c r="E7984" s="4" t="s">
        <v>5185</v>
      </c>
      <c r="F7984" s="4" t="s">
        <v>5945</v>
      </c>
    </row>
    <row r="7985" spans="1:6" x14ac:dyDescent="0.25">
      <c r="A7985" s="4" t="str">
        <f>CONCATENATE("3071-0000-8243","")</f>
        <v>3071-0000-8243</v>
      </c>
      <c r="B7985" s="4" t="s">
        <v>6029</v>
      </c>
      <c r="C7985" s="5">
        <v>41489</v>
      </c>
      <c r="D7985" s="5">
        <v>41549</v>
      </c>
      <c r="E7985" s="4" t="s">
        <v>5185</v>
      </c>
      <c r="F7985" s="4" t="s">
        <v>5185</v>
      </c>
    </row>
    <row r="7986" spans="1:6" x14ac:dyDescent="0.25">
      <c r="A7986" s="4" t="str">
        <f>CONCATENATE("3071-0000-8249","")</f>
        <v>3071-0000-8249</v>
      </c>
      <c r="B7986" s="4" t="s">
        <v>6028</v>
      </c>
      <c r="C7986" s="5">
        <v>41489</v>
      </c>
      <c r="D7986" s="5">
        <v>41549</v>
      </c>
      <c r="E7986" s="4" t="s">
        <v>5185</v>
      </c>
      <c r="F7986" s="4" t="s">
        <v>5185</v>
      </c>
    </row>
    <row r="7987" spans="1:6" x14ac:dyDescent="0.25">
      <c r="A7987" s="4" t="str">
        <f>CONCATENATE("3071-0000-0601","")</f>
        <v>3071-0000-0601</v>
      </c>
      <c r="B7987" s="4" t="s">
        <v>212</v>
      </c>
      <c r="C7987" s="5">
        <v>41489</v>
      </c>
      <c r="D7987" s="5">
        <v>41549</v>
      </c>
      <c r="E7987" s="4" t="s">
        <v>7</v>
      </c>
      <c r="F7987" s="4" t="s">
        <v>7</v>
      </c>
    </row>
    <row r="7988" spans="1:6" x14ac:dyDescent="0.25">
      <c r="A7988" s="4" t="str">
        <f>CONCATENATE("3071-0000-2288","")</f>
        <v>3071-0000-2288</v>
      </c>
      <c r="B7988" s="4" t="s">
        <v>3735</v>
      </c>
      <c r="C7988" s="5">
        <v>41489</v>
      </c>
      <c r="D7988" s="5">
        <v>41549</v>
      </c>
      <c r="E7988" s="4" t="s">
        <v>2944</v>
      </c>
      <c r="F7988" s="4" t="s">
        <v>2945</v>
      </c>
    </row>
    <row r="7989" spans="1:6" x14ac:dyDescent="0.25">
      <c r="A7989" s="4" t="str">
        <f>CONCATENATE("3071-0000-3469","")</f>
        <v>3071-0000-3469</v>
      </c>
      <c r="B7989" s="4" t="s">
        <v>1759</v>
      </c>
      <c r="C7989" s="5">
        <v>41489</v>
      </c>
      <c r="D7989" s="5">
        <v>41549</v>
      </c>
      <c r="E7989" s="4" t="s">
        <v>1410</v>
      </c>
      <c r="F7989" s="4" t="s">
        <v>1411</v>
      </c>
    </row>
    <row r="7990" spans="1:6" x14ac:dyDescent="0.25">
      <c r="A7990" s="4" t="str">
        <f>CONCATENATE("3071-0000-0977","")</f>
        <v>3071-0000-0977</v>
      </c>
      <c r="B7990" s="4" t="s">
        <v>2190</v>
      </c>
      <c r="C7990" s="5">
        <v>41489</v>
      </c>
      <c r="D7990" s="5">
        <v>41549</v>
      </c>
      <c r="E7990" s="4" t="s">
        <v>1857</v>
      </c>
      <c r="F7990" s="4" t="s">
        <v>1857</v>
      </c>
    </row>
    <row r="7991" spans="1:6" x14ac:dyDescent="0.25">
      <c r="A7991" s="4" t="str">
        <f>CONCATENATE("3071-0000-3884","")</f>
        <v>3071-0000-3884</v>
      </c>
      <c r="B7991" s="4" t="s">
        <v>4096</v>
      </c>
      <c r="C7991" s="5">
        <v>41489</v>
      </c>
      <c r="D7991" s="5">
        <v>41549</v>
      </c>
      <c r="E7991" s="4" t="s">
        <v>2944</v>
      </c>
      <c r="F7991" s="4" t="s">
        <v>3513</v>
      </c>
    </row>
    <row r="7992" spans="1:6" x14ac:dyDescent="0.25">
      <c r="A7992" s="4" t="str">
        <f>CONCATENATE("3071-0000-8594","")</f>
        <v>3071-0000-8594</v>
      </c>
      <c r="B7992" s="4" t="s">
        <v>5806</v>
      </c>
      <c r="C7992" s="5">
        <v>41489</v>
      </c>
      <c r="D7992" s="5">
        <v>41549</v>
      </c>
      <c r="E7992" s="4" t="s">
        <v>5185</v>
      </c>
      <c r="F7992" s="4" t="s">
        <v>5763</v>
      </c>
    </row>
    <row r="7993" spans="1:6" x14ac:dyDescent="0.25">
      <c r="A7993" s="4" t="str">
        <f>CONCATENATE("3071-0000-5292","")</f>
        <v>3071-0000-5292</v>
      </c>
      <c r="B7993" s="4" t="s">
        <v>6736</v>
      </c>
      <c r="C7993" s="5">
        <v>41489</v>
      </c>
      <c r="D7993" s="5">
        <v>41549</v>
      </c>
      <c r="E7993" s="4" t="s">
        <v>5185</v>
      </c>
      <c r="F7993" s="4" t="s">
        <v>5185</v>
      </c>
    </row>
    <row r="7994" spans="1:6" x14ac:dyDescent="0.25">
      <c r="A7994" s="4" t="str">
        <f>CONCATENATE("3071-0000-7352","")</f>
        <v>3071-0000-7352</v>
      </c>
      <c r="B7994" s="4" t="s">
        <v>4461</v>
      </c>
      <c r="C7994" s="5">
        <v>41489</v>
      </c>
      <c r="D7994" s="5">
        <v>41549</v>
      </c>
      <c r="E7994" s="4" t="s">
        <v>1410</v>
      </c>
      <c r="F7994" s="4" t="s">
        <v>1410</v>
      </c>
    </row>
    <row r="7995" spans="1:6" x14ac:dyDescent="0.25">
      <c r="A7995" s="4" t="str">
        <f>CONCATENATE("3071-0000-4013","")</f>
        <v>3071-0000-4013</v>
      </c>
      <c r="B7995" s="4" t="s">
        <v>4089</v>
      </c>
      <c r="C7995" s="5">
        <v>41489</v>
      </c>
      <c r="D7995" s="5">
        <v>41549</v>
      </c>
      <c r="E7995" s="4" t="s">
        <v>1381</v>
      </c>
      <c r="F7995" s="4" t="s">
        <v>4057</v>
      </c>
    </row>
    <row r="7996" spans="1:6" x14ac:dyDescent="0.25">
      <c r="A7996" s="4" t="str">
        <f>CONCATENATE("3071-0000-0620","")</f>
        <v>3071-0000-0620</v>
      </c>
      <c r="B7996" s="4" t="s">
        <v>772</v>
      </c>
      <c r="C7996" s="5">
        <v>41489</v>
      </c>
      <c r="D7996" s="5">
        <v>41549</v>
      </c>
      <c r="E7996" s="4" t="s">
        <v>7</v>
      </c>
      <c r="F7996" s="4" t="s">
        <v>7</v>
      </c>
    </row>
    <row r="7997" spans="1:6" x14ac:dyDescent="0.25">
      <c r="A7997" s="4" t="str">
        <f>CONCATENATE("3071-0000-7790","")</f>
        <v>3071-0000-7790</v>
      </c>
      <c r="B7997" s="4" t="s">
        <v>5189</v>
      </c>
      <c r="C7997" s="5">
        <v>41489</v>
      </c>
      <c r="D7997" s="5">
        <v>41549</v>
      </c>
      <c r="E7997" s="4" t="s">
        <v>5185</v>
      </c>
      <c r="F7997" s="4" t="s">
        <v>5185</v>
      </c>
    </row>
    <row r="7998" spans="1:6" x14ac:dyDescent="0.25">
      <c r="A7998" s="4" t="str">
        <f>CONCATENATE("3071-0000-5734","")</f>
        <v>3071-0000-5734</v>
      </c>
      <c r="B7998" s="4" t="s">
        <v>7437</v>
      </c>
      <c r="C7998" s="5">
        <v>41489</v>
      </c>
      <c r="D7998" s="5">
        <v>41549</v>
      </c>
      <c r="E7998" s="4" t="s">
        <v>5185</v>
      </c>
      <c r="F7998" s="4" t="s">
        <v>5185</v>
      </c>
    </row>
    <row r="7999" spans="1:6" x14ac:dyDescent="0.25">
      <c r="A7999" s="4" t="str">
        <f>CONCATENATE("3071-0000-7162","")</f>
        <v>3071-0000-7162</v>
      </c>
      <c r="B7999" s="4" t="s">
        <v>5111</v>
      </c>
      <c r="C7999" s="5">
        <v>41489</v>
      </c>
      <c r="D7999" s="5">
        <v>41549</v>
      </c>
      <c r="E7999" s="4" t="s">
        <v>1410</v>
      </c>
      <c r="F7999" s="4" t="s">
        <v>1410</v>
      </c>
    </row>
    <row r="8000" spans="1:6" x14ac:dyDescent="0.25">
      <c r="A8000" s="4" t="str">
        <f>CONCATENATE("3071-0000-5751","")</f>
        <v>3071-0000-5751</v>
      </c>
      <c r="B8000" s="4" t="s">
        <v>7144</v>
      </c>
      <c r="C8000" s="5">
        <v>41489</v>
      </c>
      <c r="D8000" s="5">
        <v>41549</v>
      </c>
      <c r="E8000" s="4" t="s">
        <v>7069</v>
      </c>
      <c r="F8000" s="4" t="s">
        <v>7120</v>
      </c>
    </row>
    <row r="8001" spans="1:6" x14ac:dyDescent="0.25">
      <c r="A8001" s="4" t="str">
        <f>CONCATENATE("3071-0000-6145","")</f>
        <v>3071-0000-6145</v>
      </c>
      <c r="B8001" s="4" t="s">
        <v>7707</v>
      </c>
      <c r="C8001" s="5">
        <v>41489</v>
      </c>
      <c r="D8001" s="5">
        <v>41549</v>
      </c>
      <c r="E8001" s="4" t="s">
        <v>1410</v>
      </c>
      <c r="F8001" s="4" t="s">
        <v>1410</v>
      </c>
    </row>
    <row r="8002" spans="1:6" x14ac:dyDescent="0.25">
      <c r="A8002" s="4" t="str">
        <f>CONCATENATE("3071-0000-5603","")</f>
        <v>3071-0000-5603</v>
      </c>
      <c r="B8002" s="4" t="s">
        <v>7140</v>
      </c>
      <c r="C8002" s="5">
        <v>41489</v>
      </c>
      <c r="D8002" s="5">
        <v>41549</v>
      </c>
      <c r="E8002" s="4" t="s">
        <v>5185</v>
      </c>
      <c r="F8002" s="4" t="s">
        <v>5185</v>
      </c>
    </row>
    <row r="8003" spans="1:6" x14ac:dyDescent="0.25">
      <c r="A8003" s="4" t="str">
        <f>CONCATENATE("3071-0000-8593","")</f>
        <v>3071-0000-8593</v>
      </c>
      <c r="B8003" s="4" t="s">
        <v>5805</v>
      </c>
      <c r="C8003" s="5">
        <v>41489</v>
      </c>
      <c r="D8003" s="5">
        <v>41549</v>
      </c>
      <c r="E8003" s="4" t="s">
        <v>5185</v>
      </c>
      <c r="F8003" s="4" t="s">
        <v>5763</v>
      </c>
    </row>
    <row r="8004" spans="1:6" x14ac:dyDescent="0.25">
      <c r="A8004" s="4" t="str">
        <f>CONCATENATE("3071-0000-2418","")</f>
        <v>3071-0000-2418</v>
      </c>
      <c r="B8004" s="4" t="s">
        <v>3001</v>
      </c>
      <c r="C8004" s="5">
        <v>41489</v>
      </c>
      <c r="D8004" s="5">
        <v>41549</v>
      </c>
      <c r="E8004" s="4" t="s">
        <v>2944</v>
      </c>
      <c r="F8004" s="4" t="s">
        <v>2945</v>
      </c>
    </row>
    <row r="8005" spans="1:6" x14ac:dyDescent="0.25">
      <c r="A8005" s="4" t="str">
        <f>CONCATENATE("3071-0000-5113","")</f>
        <v>3071-0000-5113</v>
      </c>
      <c r="B8005" s="4" t="s">
        <v>8958</v>
      </c>
      <c r="C8005" s="5">
        <v>41489</v>
      </c>
      <c r="D8005" s="5">
        <v>41549</v>
      </c>
      <c r="E8005" s="4" t="s">
        <v>1410</v>
      </c>
      <c r="F8005" s="4" t="s">
        <v>8903</v>
      </c>
    </row>
    <row r="8006" spans="1:6" x14ac:dyDescent="0.25">
      <c r="A8006" s="4" t="str">
        <f>CONCATENATE("3071-0000-3907","")</f>
        <v>3071-0000-3907</v>
      </c>
      <c r="B8006" s="4" t="s">
        <v>4130</v>
      </c>
      <c r="C8006" s="5">
        <v>41489</v>
      </c>
      <c r="D8006" s="5">
        <v>41549</v>
      </c>
      <c r="E8006" s="4" t="s">
        <v>2944</v>
      </c>
      <c r="F8006" s="4" t="s">
        <v>3513</v>
      </c>
    </row>
    <row r="8007" spans="1:6" x14ac:dyDescent="0.25">
      <c r="A8007" s="4" t="str">
        <f>CONCATENATE("3071-0000-5146","")</f>
        <v>3071-0000-5146</v>
      </c>
      <c r="B8007" s="4" t="s">
        <v>8949</v>
      </c>
      <c r="C8007" s="5">
        <v>41489</v>
      </c>
      <c r="D8007" s="5">
        <v>41549</v>
      </c>
      <c r="E8007" s="4" t="s">
        <v>1410</v>
      </c>
      <c r="F8007" s="4" t="s">
        <v>8903</v>
      </c>
    </row>
    <row r="8008" spans="1:6" x14ac:dyDescent="0.25">
      <c r="A8008" s="4" t="str">
        <f>CONCATENATE("3071-0000-8070","")</f>
        <v>3071-0000-8070</v>
      </c>
      <c r="B8008" s="4" t="s">
        <v>5905</v>
      </c>
      <c r="C8008" s="5">
        <v>41489</v>
      </c>
      <c r="D8008" s="5">
        <v>41549</v>
      </c>
      <c r="E8008" s="4" t="s">
        <v>5185</v>
      </c>
      <c r="F8008" s="4" t="s">
        <v>5185</v>
      </c>
    </row>
    <row r="8009" spans="1:6" x14ac:dyDescent="0.25">
      <c r="A8009" s="4" t="str">
        <f>CONCATENATE("3071-0000-1594","")</f>
        <v>3071-0000-1594</v>
      </c>
      <c r="B8009" s="4" t="s">
        <v>2489</v>
      </c>
      <c r="C8009" s="5">
        <v>41489</v>
      </c>
      <c r="D8009" s="5">
        <v>41549</v>
      </c>
      <c r="E8009" s="4" t="s">
        <v>1381</v>
      </c>
      <c r="F8009" s="4" t="s">
        <v>2303</v>
      </c>
    </row>
    <row r="8010" spans="1:6" x14ac:dyDescent="0.25">
      <c r="A8010" s="4" t="str">
        <f>CONCATENATE("3071-0000-4481","")</f>
        <v>3071-0000-4481</v>
      </c>
      <c r="B8010" s="4" t="s">
        <v>9373</v>
      </c>
      <c r="C8010" s="5">
        <v>41489</v>
      </c>
      <c r="D8010" s="5">
        <v>41549</v>
      </c>
      <c r="E8010" s="4" t="s">
        <v>1410</v>
      </c>
      <c r="F8010" s="4" t="s">
        <v>8696</v>
      </c>
    </row>
    <row r="8011" spans="1:6" x14ac:dyDescent="0.25">
      <c r="A8011" s="4" t="str">
        <f>CONCATENATE("3071-0000-7436","")</f>
        <v>3071-0000-7436</v>
      </c>
      <c r="B8011" s="4" t="s">
        <v>4547</v>
      </c>
      <c r="C8011" s="5">
        <v>41489</v>
      </c>
      <c r="D8011" s="5">
        <v>41549</v>
      </c>
      <c r="E8011" s="4" t="s">
        <v>1410</v>
      </c>
      <c r="F8011" s="4" t="s">
        <v>1410</v>
      </c>
    </row>
    <row r="8012" spans="1:6" x14ac:dyDescent="0.25">
      <c r="A8012" s="4" t="str">
        <f>CONCATENATE("3071-0000-6252","")</f>
        <v>3071-0000-6252</v>
      </c>
      <c r="B8012" s="4" t="s">
        <v>7123</v>
      </c>
      <c r="C8012" s="5">
        <v>41489</v>
      </c>
      <c r="D8012" s="5">
        <v>41549</v>
      </c>
      <c r="E8012" s="4" t="s">
        <v>7069</v>
      </c>
      <c r="F8012" s="4" t="s">
        <v>7120</v>
      </c>
    </row>
    <row r="8013" spans="1:6" x14ac:dyDescent="0.25">
      <c r="A8013" s="4" t="str">
        <f>CONCATENATE("3071-0000-4569","")</f>
        <v>3071-0000-4569</v>
      </c>
      <c r="B8013" s="4" t="s">
        <v>9580</v>
      </c>
      <c r="C8013" s="5">
        <v>41489</v>
      </c>
      <c r="D8013" s="5">
        <v>41549</v>
      </c>
      <c r="E8013" s="4" t="s">
        <v>1410</v>
      </c>
      <c r="F8013" s="4" t="s">
        <v>8696</v>
      </c>
    </row>
    <row r="8014" spans="1:6" x14ac:dyDescent="0.25">
      <c r="A8014" s="4" t="str">
        <f>CONCATENATE("3071-0000-7579","")</f>
        <v>3071-0000-7579</v>
      </c>
      <c r="B8014" s="4" t="s">
        <v>4522</v>
      </c>
      <c r="C8014" s="5">
        <v>41489</v>
      </c>
      <c r="D8014" s="5">
        <v>41549</v>
      </c>
      <c r="E8014" s="4" t="s">
        <v>1410</v>
      </c>
      <c r="F8014" s="4" t="s">
        <v>1410</v>
      </c>
    </row>
    <row r="8015" spans="1:6" x14ac:dyDescent="0.25">
      <c r="A8015" s="4" t="str">
        <f>CONCATENATE("3071-0000-9044","")</f>
        <v>3071-0000-9044</v>
      </c>
      <c r="B8015" s="4" t="s">
        <v>6521</v>
      </c>
      <c r="C8015" s="5">
        <v>41489</v>
      </c>
      <c r="D8015" s="5">
        <v>41549</v>
      </c>
      <c r="E8015" s="4" t="s">
        <v>5185</v>
      </c>
      <c r="F8015" s="4" t="s">
        <v>5292</v>
      </c>
    </row>
    <row r="8016" spans="1:6" x14ac:dyDescent="0.25">
      <c r="A8016" s="4" t="str">
        <f>CONCATENATE("3071-0000-4659","")</f>
        <v>3071-0000-4659</v>
      </c>
      <c r="B8016" s="4" t="s">
        <v>9153</v>
      </c>
      <c r="C8016" s="5">
        <v>41489</v>
      </c>
      <c r="D8016" s="5">
        <v>41549</v>
      </c>
      <c r="E8016" s="4" t="s">
        <v>1410</v>
      </c>
      <c r="F8016" s="4" t="s">
        <v>8696</v>
      </c>
    </row>
    <row r="8017" spans="1:6" x14ac:dyDescent="0.25">
      <c r="A8017" s="4" t="str">
        <f>CONCATENATE("3071-0000-6883","")</f>
        <v>3071-0000-6883</v>
      </c>
      <c r="B8017" s="4" t="s">
        <v>4913</v>
      </c>
      <c r="C8017" s="5">
        <v>41489</v>
      </c>
      <c r="D8017" s="5">
        <v>41549</v>
      </c>
      <c r="E8017" s="4" t="s">
        <v>1410</v>
      </c>
      <c r="F8017" s="4" t="s">
        <v>1410</v>
      </c>
    </row>
    <row r="8018" spans="1:6" x14ac:dyDescent="0.25">
      <c r="A8018" s="4" t="str">
        <f>CONCATENATE("3071-0000-7163","")</f>
        <v>3071-0000-7163</v>
      </c>
      <c r="B8018" s="4" t="s">
        <v>5112</v>
      </c>
      <c r="C8018" s="5">
        <v>41489</v>
      </c>
      <c r="D8018" s="5">
        <v>41549</v>
      </c>
      <c r="E8018" s="4" t="s">
        <v>1410</v>
      </c>
      <c r="F8018" s="4" t="s">
        <v>1410</v>
      </c>
    </row>
    <row r="8019" spans="1:6" x14ac:dyDescent="0.25">
      <c r="A8019" s="4" t="str">
        <f>CONCATENATE("3071-0000-2421","")</f>
        <v>3071-0000-2421</v>
      </c>
      <c r="B8019" s="4" t="s">
        <v>3004</v>
      </c>
      <c r="C8019" s="5">
        <v>41489</v>
      </c>
      <c r="D8019" s="5">
        <v>41549</v>
      </c>
      <c r="E8019" s="4" t="s">
        <v>2944</v>
      </c>
      <c r="F8019" s="4" t="s">
        <v>2945</v>
      </c>
    </row>
    <row r="8020" spans="1:6" x14ac:dyDescent="0.25">
      <c r="A8020" s="4" t="str">
        <f>CONCATENATE("3071-0000-6631","")</f>
        <v>3071-0000-6631</v>
      </c>
      <c r="B8020" s="4" t="s">
        <v>8226</v>
      </c>
      <c r="C8020" s="5">
        <v>41489</v>
      </c>
      <c r="D8020" s="5">
        <v>41549</v>
      </c>
      <c r="E8020" s="4" t="s">
        <v>5185</v>
      </c>
      <c r="F8020" s="4" t="s">
        <v>5185</v>
      </c>
    </row>
    <row r="8021" spans="1:6" x14ac:dyDescent="0.25">
      <c r="A8021" s="4" t="str">
        <f>CONCATENATE("3071-0000-6644","")</f>
        <v>3071-0000-6644</v>
      </c>
      <c r="B8021" s="4" t="s">
        <v>8227</v>
      </c>
      <c r="C8021" s="5">
        <v>41489</v>
      </c>
      <c r="D8021" s="5">
        <v>41549</v>
      </c>
      <c r="E8021" s="4" t="s">
        <v>5185</v>
      </c>
      <c r="F8021" s="4" t="s">
        <v>5185</v>
      </c>
    </row>
    <row r="8022" spans="1:6" x14ac:dyDescent="0.25">
      <c r="A8022" s="4" t="str">
        <f>CONCATENATE("3071-0000-5596","")</f>
        <v>3071-0000-5596</v>
      </c>
      <c r="B8022" s="4" t="s">
        <v>7122</v>
      </c>
      <c r="C8022" s="5">
        <v>41489</v>
      </c>
      <c r="D8022" s="5">
        <v>41549</v>
      </c>
      <c r="E8022" s="4" t="s">
        <v>5185</v>
      </c>
      <c r="F8022" s="4" t="s">
        <v>5185</v>
      </c>
    </row>
    <row r="8023" spans="1:6" x14ac:dyDescent="0.25">
      <c r="A8023" s="4" t="str">
        <f>CONCATENATE("3071-0000-7543","")</f>
        <v>3071-0000-7543</v>
      </c>
      <c r="B8023" s="4" t="s">
        <v>5103</v>
      </c>
      <c r="C8023" s="5">
        <v>41489</v>
      </c>
      <c r="D8023" s="5">
        <v>41549</v>
      </c>
      <c r="E8023" s="4" t="s">
        <v>1410</v>
      </c>
      <c r="F8023" s="4" t="s">
        <v>4616</v>
      </c>
    </row>
    <row r="8024" spans="1:6" x14ac:dyDescent="0.25">
      <c r="A8024" s="4" t="str">
        <f>CONCATENATE("3071-0000-4568","")</f>
        <v>3071-0000-4568</v>
      </c>
      <c r="B8024" s="4" t="s">
        <v>9577</v>
      </c>
      <c r="C8024" s="5">
        <v>41489</v>
      </c>
      <c r="D8024" s="5">
        <v>41549</v>
      </c>
      <c r="E8024" s="4" t="s">
        <v>1410</v>
      </c>
      <c r="F8024" s="4" t="s">
        <v>8696</v>
      </c>
    </row>
    <row r="8025" spans="1:6" x14ac:dyDescent="0.25">
      <c r="A8025" s="4" t="str">
        <f>CONCATENATE("3071-0000-5093","")</f>
        <v>3071-0000-5093</v>
      </c>
      <c r="B8025" s="4" t="s">
        <v>9586</v>
      </c>
      <c r="C8025" s="5">
        <v>41489</v>
      </c>
      <c r="D8025" s="5">
        <v>41549</v>
      </c>
      <c r="E8025" s="4" t="s">
        <v>7069</v>
      </c>
      <c r="F8025" s="4" t="s">
        <v>9485</v>
      </c>
    </row>
    <row r="8026" spans="1:6" x14ac:dyDescent="0.25">
      <c r="A8026" s="4" t="str">
        <f>CONCATENATE("3071-0000-2416","")</f>
        <v>3071-0000-2416</v>
      </c>
      <c r="B8026" s="4" t="s">
        <v>2999</v>
      </c>
      <c r="C8026" s="5">
        <v>41489</v>
      </c>
      <c r="D8026" s="5">
        <v>41549</v>
      </c>
      <c r="E8026" s="4" t="s">
        <v>2944</v>
      </c>
      <c r="F8026" s="4" t="s">
        <v>2945</v>
      </c>
    </row>
    <row r="8027" spans="1:6" x14ac:dyDescent="0.25">
      <c r="A8027" s="4" t="str">
        <f>CONCATENATE("3071-0000-4152","")</f>
        <v>3071-0000-4152</v>
      </c>
      <c r="B8027" s="4" t="s">
        <v>4139</v>
      </c>
      <c r="C8027" s="5">
        <v>41489</v>
      </c>
      <c r="D8027" s="5">
        <v>41549</v>
      </c>
      <c r="E8027" s="4" t="s">
        <v>7</v>
      </c>
      <c r="F8027" s="4" t="s">
        <v>3902</v>
      </c>
    </row>
    <row r="8028" spans="1:6" x14ac:dyDescent="0.25">
      <c r="A8028" s="4" t="str">
        <f>CONCATENATE("3071-0000-4727","")</f>
        <v>3071-0000-4727</v>
      </c>
      <c r="B8028" s="4" t="s">
        <v>9692</v>
      </c>
      <c r="C8028" s="5">
        <v>41489</v>
      </c>
      <c r="D8028" s="5">
        <v>41549</v>
      </c>
      <c r="E8028" s="4" t="s">
        <v>1410</v>
      </c>
      <c r="F8028" s="4" t="s">
        <v>8696</v>
      </c>
    </row>
    <row r="8029" spans="1:6" x14ac:dyDescent="0.25">
      <c r="A8029" s="4" t="str">
        <f>CONCATENATE("3071-0000-1036","")</f>
        <v>3071-0000-1036</v>
      </c>
      <c r="B8029" s="4" t="s">
        <v>2256</v>
      </c>
      <c r="C8029" s="5">
        <v>41489</v>
      </c>
      <c r="D8029" s="5">
        <v>41549</v>
      </c>
      <c r="E8029" s="4" t="s">
        <v>1857</v>
      </c>
      <c r="F8029" s="4" t="s">
        <v>1857</v>
      </c>
    </row>
    <row r="8030" spans="1:6" x14ac:dyDescent="0.25">
      <c r="A8030" s="4" t="str">
        <f>CONCATENATE("3071-0000-6787","")</f>
        <v>3071-0000-6787</v>
      </c>
      <c r="B8030" s="4" t="s">
        <v>7792</v>
      </c>
      <c r="C8030" s="5">
        <v>41489</v>
      </c>
      <c r="D8030" s="5">
        <v>41549</v>
      </c>
      <c r="E8030" s="4" t="s">
        <v>1410</v>
      </c>
      <c r="F8030" s="4" t="s">
        <v>4655</v>
      </c>
    </row>
    <row r="8031" spans="1:6" x14ac:dyDescent="0.25">
      <c r="A8031" s="4" t="str">
        <f>CONCATENATE("3071-0000-5791","")</f>
        <v>3071-0000-5791</v>
      </c>
      <c r="B8031" s="4" t="s">
        <v>7155</v>
      </c>
      <c r="C8031" s="5">
        <v>41489</v>
      </c>
      <c r="D8031" s="5">
        <v>41549</v>
      </c>
      <c r="E8031" s="4" t="s">
        <v>5185</v>
      </c>
      <c r="F8031" s="4" t="s">
        <v>5185</v>
      </c>
    </row>
    <row r="8032" spans="1:6" x14ac:dyDescent="0.25">
      <c r="A8032" s="4" t="str">
        <f>CONCATENATE("3071-0000-4510","")</f>
        <v>3071-0000-4510</v>
      </c>
      <c r="B8032" s="4" t="s">
        <v>9511</v>
      </c>
      <c r="C8032" s="5">
        <v>41489</v>
      </c>
      <c r="D8032" s="5">
        <v>41549</v>
      </c>
      <c r="E8032" s="4" t="s">
        <v>1410</v>
      </c>
      <c r="F8032" s="4" t="s">
        <v>8696</v>
      </c>
    </row>
    <row r="8033" spans="1:6" x14ac:dyDescent="0.25">
      <c r="A8033" s="4" t="str">
        <f>CONCATENATE("3071-0000-1128","")</f>
        <v>3071-0000-1128</v>
      </c>
      <c r="B8033" s="4" t="s">
        <v>2167</v>
      </c>
      <c r="C8033" s="5">
        <v>41489</v>
      </c>
      <c r="D8033" s="5">
        <v>41549</v>
      </c>
      <c r="E8033" s="4" t="s">
        <v>1857</v>
      </c>
      <c r="F8033" s="4" t="s">
        <v>2144</v>
      </c>
    </row>
    <row r="8034" spans="1:6" x14ac:dyDescent="0.25">
      <c r="A8034" s="4" t="str">
        <f>CONCATENATE("3071-0000-3373","")</f>
        <v>3071-0000-3373</v>
      </c>
      <c r="B8034" s="4" t="s">
        <v>1515</v>
      </c>
      <c r="C8034" s="5">
        <v>41489</v>
      </c>
      <c r="D8034" s="5">
        <v>41549</v>
      </c>
      <c r="E8034" s="4" t="s">
        <v>1410</v>
      </c>
      <c r="F8034" s="4" t="s">
        <v>1411</v>
      </c>
    </row>
    <row r="8035" spans="1:6" x14ac:dyDescent="0.25">
      <c r="A8035" s="4" t="str">
        <f>CONCATENATE("3071-0000-7145","")</f>
        <v>3071-0000-7145</v>
      </c>
      <c r="B8035" s="4" t="s">
        <v>4967</v>
      </c>
      <c r="C8035" s="5">
        <v>41489</v>
      </c>
      <c r="D8035" s="5">
        <v>41549</v>
      </c>
      <c r="E8035" s="4" t="s">
        <v>1410</v>
      </c>
      <c r="F8035" s="4" t="s">
        <v>1410</v>
      </c>
    </row>
    <row r="8036" spans="1:6" x14ac:dyDescent="0.25">
      <c r="A8036" s="4" t="str">
        <f>CONCATENATE("3071-0000-6960","")</f>
        <v>3071-0000-6960</v>
      </c>
      <c r="B8036" s="4" t="s">
        <v>4558</v>
      </c>
      <c r="C8036" s="5">
        <v>41489</v>
      </c>
      <c r="D8036" s="5">
        <v>41549</v>
      </c>
      <c r="E8036" s="4" t="s">
        <v>1410</v>
      </c>
      <c r="F8036" s="4" t="s">
        <v>1410</v>
      </c>
    </row>
    <row r="8037" spans="1:6" x14ac:dyDescent="0.25">
      <c r="A8037" s="4" t="str">
        <f>CONCATENATE("3071-0000-5375","")</f>
        <v>3071-0000-5375</v>
      </c>
      <c r="B8037" s="4" t="s">
        <v>6885</v>
      </c>
      <c r="C8037" s="5">
        <v>41489</v>
      </c>
      <c r="D8037" s="5">
        <v>41549</v>
      </c>
      <c r="E8037" s="4" t="s">
        <v>5185</v>
      </c>
      <c r="F8037" s="4" t="s">
        <v>5185</v>
      </c>
    </row>
    <row r="8038" spans="1:6" x14ac:dyDescent="0.25">
      <c r="A8038" s="4" t="str">
        <f>CONCATENATE("3071-0000-4182","")</f>
        <v>3071-0000-4182</v>
      </c>
      <c r="B8038" s="4" t="s">
        <v>4029</v>
      </c>
      <c r="C8038" s="5">
        <v>41489</v>
      </c>
      <c r="D8038" s="5">
        <v>41549</v>
      </c>
      <c r="E8038" s="4" t="s">
        <v>1381</v>
      </c>
      <c r="F8038" s="4" t="s">
        <v>3994</v>
      </c>
    </row>
    <row r="8039" spans="1:6" x14ac:dyDescent="0.25">
      <c r="A8039" s="4" t="str">
        <f>CONCATENATE("3071-0000-0336","")</f>
        <v>3071-0000-0336</v>
      </c>
      <c r="B8039" s="4" t="s">
        <v>475</v>
      </c>
      <c r="C8039" s="5">
        <v>41489</v>
      </c>
      <c r="D8039" s="5">
        <v>41549</v>
      </c>
      <c r="E8039" s="4" t="s">
        <v>7</v>
      </c>
      <c r="F8039" s="4" t="s">
        <v>7</v>
      </c>
    </row>
    <row r="8040" spans="1:6" x14ac:dyDescent="0.25">
      <c r="A8040" s="4" t="str">
        <f>CONCATENATE("3071-0000-5616","")</f>
        <v>3071-0000-5616</v>
      </c>
      <c r="B8040" s="4" t="s">
        <v>7162</v>
      </c>
      <c r="C8040" s="5">
        <v>41489</v>
      </c>
      <c r="D8040" s="5">
        <v>41549</v>
      </c>
      <c r="E8040" s="4" t="s">
        <v>5185</v>
      </c>
      <c r="F8040" s="4" t="s">
        <v>5185</v>
      </c>
    </row>
    <row r="8041" spans="1:6" x14ac:dyDescent="0.25">
      <c r="A8041" s="4" t="str">
        <f>CONCATENATE("3071-0000-8015","")</f>
        <v>3071-0000-8015</v>
      </c>
      <c r="B8041" s="4" t="s">
        <v>5514</v>
      </c>
      <c r="C8041" s="5">
        <v>41489</v>
      </c>
      <c r="D8041" s="5">
        <v>41549</v>
      </c>
      <c r="E8041" s="4" t="s">
        <v>5185</v>
      </c>
      <c r="F8041" s="4" t="s">
        <v>5185</v>
      </c>
    </row>
    <row r="8042" spans="1:6" x14ac:dyDescent="0.25">
      <c r="A8042" s="4" t="str">
        <f>CONCATENATE("3071-0000-5611","")</f>
        <v>3071-0000-5611</v>
      </c>
      <c r="B8042" s="4" t="s">
        <v>7172</v>
      </c>
      <c r="C8042" s="5">
        <v>41489</v>
      </c>
      <c r="D8042" s="5">
        <v>41549</v>
      </c>
      <c r="E8042" s="4" t="s">
        <v>5185</v>
      </c>
      <c r="F8042" s="4" t="s">
        <v>5185</v>
      </c>
    </row>
    <row r="8043" spans="1:6" x14ac:dyDescent="0.25">
      <c r="A8043" s="4" t="str">
        <f>CONCATENATE("3071-0000-8511","")</f>
        <v>3071-0000-8511</v>
      </c>
      <c r="B8043" s="4" t="s">
        <v>6156</v>
      </c>
      <c r="C8043" s="5">
        <v>41489</v>
      </c>
      <c r="D8043" s="5">
        <v>41549</v>
      </c>
      <c r="E8043" s="4" t="s">
        <v>5185</v>
      </c>
      <c r="F8043" s="4" t="s">
        <v>5945</v>
      </c>
    </row>
    <row r="8044" spans="1:6" x14ac:dyDescent="0.25">
      <c r="A8044" s="4" t="str">
        <f>CONCATENATE("3071-0000-4413","")</f>
        <v>3071-0000-4413</v>
      </c>
      <c r="B8044" s="4" t="s">
        <v>9274</v>
      </c>
      <c r="C8044" s="5">
        <v>41489</v>
      </c>
      <c r="D8044" s="5">
        <v>41549</v>
      </c>
      <c r="E8044" s="4" t="s">
        <v>1410</v>
      </c>
      <c r="F8044" s="4" t="s">
        <v>8696</v>
      </c>
    </row>
    <row r="8045" spans="1:6" x14ac:dyDescent="0.25">
      <c r="A8045" s="4" t="str">
        <f>CONCATENATE("3071-0000-8513","")</f>
        <v>3071-0000-8513</v>
      </c>
      <c r="B8045" s="4" t="s">
        <v>6154</v>
      </c>
      <c r="C8045" s="5">
        <v>41489</v>
      </c>
      <c r="D8045" s="5">
        <v>41549</v>
      </c>
      <c r="E8045" s="4" t="s">
        <v>5185</v>
      </c>
      <c r="F8045" s="4" t="s">
        <v>5945</v>
      </c>
    </row>
    <row r="8046" spans="1:6" x14ac:dyDescent="0.25">
      <c r="A8046" s="4" t="str">
        <f>CONCATENATE("3071-0000-0325","")</f>
        <v>3071-0000-0325</v>
      </c>
      <c r="B8046" s="4" t="s">
        <v>269</v>
      </c>
      <c r="C8046" s="5">
        <v>41489</v>
      </c>
      <c r="D8046" s="5">
        <v>41549</v>
      </c>
      <c r="E8046" s="4" t="s">
        <v>7</v>
      </c>
      <c r="F8046" s="4" t="s">
        <v>7</v>
      </c>
    </row>
    <row r="8047" spans="1:6" x14ac:dyDescent="0.25">
      <c r="A8047" s="4" t="str">
        <f>CONCATENATE("3071-0000-8219","")</f>
        <v>3071-0000-8219</v>
      </c>
      <c r="B8047" s="4" t="s">
        <v>5708</v>
      </c>
      <c r="C8047" s="5">
        <v>41489</v>
      </c>
      <c r="D8047" s="5">
        <v>41549</v>
      </c>
      <c r="E8047" s="4" t="s">
        <v>5185</v>
      </c>
      <c r="F8047" s="4" t="s">
        <v>5185</v>
      </c>
    </row>
    <row r="8048" spans="1:6" x14ac:dyDescent="0.25">
      <c r="A8048" s="4" t="str">
        <f>CONCATENATE("3071-0000-1766","")</f>
        <v>3071-0000-1766</v>
      </c>
      <c r="B8048" s="4" t="s">
        <v>2523</v>
      </c>
      <c r="C8048" s="5">
        <v>41489</v>
      </c>
      <c r="D8048" s="5">
        <v>41549</v>
      </c>
      <c r="E8048" s="4" t="s">
        <v>1381</v>
      </c>
      <c r="F8048" s="4" t="s">
        <v>2303</v>
      </c>
    </row>
    <row r="8049" spans="1:6" x14ac:dyDescent="0.25">
      <c r="A8049" s="4" t="str">
        <f>CONCATENATE("3071-0000-5058","")</f>
        <v>3071-0000-5058</v>
      </c>
      <c r="B8049" s="4" t="s">
        <v>9400</v>
      </c>
      <c r="C8049" s="5">
        <v>41489</v>
      </c>
      <c r="D8049" s="5">
        <v>41549</v>
      </c>
      <c r="E8049" s="4" t="s">
        <v>7069</v>
      </c>
      <c r="F8049" s="4" t="s">
        <v>9210</v>
      </c>
    </row>
    <row r="8050" spans="1:6" x14ac:dyDescent="0.25">
      <c r="A8050" s="4" t="str">
        <f>CONCATENATE("3071-0000-5663","")</f>
        <v>3071-0000-5663</v>
      </c>
      <c r="B8050" s="4" t="s">
        <v>7143</v>
      </c>
      <c r="C8050" s="5">
        <v>41489</v>
      </c>
      <c r="D8050" s="5">
        <v>41549</v>
      </c>
      <c r="E8050" s="4" t="s">
        <v>5185</v>
      </c>
      <c r="F8050" s="4" t="s">
        <v>5185</v>
      </c>
    </row>
    <row r="8051" spans="1:6" x14ac:dyDescent="0.25">
      <c r="A8051" s="4" t="str">
        <f>CONCATENATE("3071-0000-6263","")</f>
        <v>3071-0000-6263</v>
      </c>
      <c r="B8051" s="4" t="s">
        <v>7242</v>
      </c>
      <c r="C8051" s="5">
        <v>41489</v>
      </c>
      <c r="D8051" s="5">
        <v>41549</v>
      </c>
      <c r="E8051" s="4" t="s">
        <v>7069</v>
      </c>
      <c r="F8051" s="4" t="s">
        <v>7183</v>
      </c>
    </row>
    <row r="8052" spans="1:6" x14ac:dyDescent="0.25">
      <c r="A8052" s="4" t="str">
        <f>CONCATENATE("3071-0000-5000","")</f>
        <v>3071-0000-5000</v>
      </c>
      <c r="B8052" s="4" t="s">
        <v>9436</v>
      </c>
      <c r="C8052" s="5">
        <v>41489</v>
      </c>
      <c r="D8052" s="5">
        <v>41549</v>
      </c>
      <c r="E8052" s="4" t="s">
        <v>7069</v>
      </c>
      <c r="F8052" s="4" t="s">
        <v>9210</v>
      </c>
    </row>
    <row r="8053" spans="1:6" x14ac:dyDescent="0.25">
      <c r="A8053" s="4" t="str">
        <f>CONCATENATE("3071-0000-6235","")</f>
        <v>3071-0000-6235</v>
      </c>
      <c r="B8053" s="4" t="s">
        <v>7209</v>
      </c>
      <c r="C8053" s="5">
        <v>41489</v>
      </c>
      <c r="D8053" s="5">
        <v>41549</v>
      </c>
      <c r="E8053" s="4" t="s">
        <v>7069</v>
      </c>
      <c r="F8053" s="4" t="s">
        <v>7183</v>
      </c>
    </row>
    <row r="8054" spans="1:6" x14ac:dyDescent="0.25">
      <c r="A8054" s="4" t="str">
        <f>CONCATENATE("3071-0000-4562","")</f>
        <v>3071-0000-4562</v>
      </c>
      <c r="B8054" s="4" t="s">
        <v>9090</v>
      </c>
      <c r="C8054" s="5">
        <v>41489</v>
      </c>
      <c r="D8054" s="5">
        <v>41549</v>
      </c>
      <c r="E8054" s="4" t="s">
        <v>1410</v>
      </c>
      <c r="F8054" s="4" t="s">
        <v>8696</v>
      </c>
    </row>
    <row r="8055" spans="1:6" x14ac:dyDescent="0.25">
      <c r="A8055" s="4" t="str">
        <f>CONCATENATE("3071-0000-8995","")</f>
        <v>3071-0000-8995</v>
      </c>
      <c r="B8055" s="4" t="s">
        <v>6151</v>
      </c>
      <c r="C8055" s="5">
        <v>41489</v>
      </c>
      <c r="D8055" s="5">
        <v>41549</v>
      </c>
      <c r="E8055" s="4" t="s">
        <v>5185</v>
      </c>
      <c r="F8055" s="4" t="s">
        <v>5945</v>
      </c>
    </row>
    <row r="8056" spans="1:6" x14ac:dyDescent="0.25">
      <c r="A8056" s="4" t="str">
        <f>CONCATENATE("3071-0000-5617","")</f>
        <v>3071-0000-5617</v>
      </c>
      <c r="B8056" s="4" t="s">
        <v>7194</v>
      </c>
      <c r="C8056" s="5">
        <v>41489</v>
      </c>
      <c r="D8056" s="5">
        <v>41549</v>
      </c>
      <c r="E8056" s="4" t="s">
        <v>5185</v>
      </c>
      <c r="F8056" s="4" t="s">
        <v>5185</v>
      </c>
    </row>
    <row r="8057" spans="1:6" x14ac:dyDescent="0.25">
      <c r="A8057" s="4" t="str">
        <f>CONCATENATE("3071-0000-5999","")</f>
        <v>3071-0000-5999</v>
      </c>
      <c r="B8057" s="4" t="s">
        <v>7118</v>
      </c>
      <c r="C8057" s="5">
        <v>41489</v>
      </c>
      <c r="D8057" s="5">
        <v>41549</v>
      </c>
      <c r="E8057" s="4" t="s">
        <v>5185</v>
      </c>
      <c r="F8057" s="4" t="s">
        <v>5185</v>
      </c>
    </row>
    <row r="8058" spans="1:6" x14ac:dyDescent="0.25">
      <c r="A8058" s="4" t="str">
        <f>CONCATENATE("3071-0000-9201","")</f>
        <v>3071-0000-9201</v>
      </c>
      <c r="B8058" s="4" t="s">
        <v>6436</v>
      </c>
      <c r="C8058" s="5">
        <v>41489</v>
      </c>
      <c r="D8058" s="5">
        <v>41549</v>
      </c>
      <c r="E8058" s="4" t="s">
        <v>5185</v>
      </c>
      <c r="F8058" s="4" t="s">
        <v>5292</v>
      </c>
    </row>
    <row r="8059" spans="1:6" x14ac:dyDescent="0.25">
      <c r="A8059" s="4" t="str">
        <f>CONCATENATE("3071-0000-3834","")</f>
        <v>3071-0000-3834</v>
      </c>
      <c r="B8059" s="4" t="s">
        <v>3885</v>
      </c>
      <c r="C8059" s="5">
        <v>41489</v>
      </c>
      <c r="D8059" s="5">
        <v>41549</v>
      </c>
      <c r="E8059" s="4" t="s">
        <v>2944</v>
      </c>
      <c r="F8059" s="4" t="s">
        <v>3513</v>
      </c>
    </row>
    <row r="8060" spans="1:6" x14ac:dyDescent="0.25">
      <c r="A8060" s="4" t="str">
        <f>CONCATENATE("3071-0000-0473","")</f>
        <v>3071-0000-0473</v>
      </c>
      <c r="B8060" s="4" t="s">
        <v>119</v>
      </c>
      <c r="C8060" s="5">
        <v>41489</v>
      </c>
      <c r="D8060" s="5">
        <v>41549</v>
      </c>
      <c r="E8060" s="4" t="s">
        <v>7</v>
      </c>
      <c r="F8060" s="4" t="s">
        <v>7</v>
      </c>
    </row>
    <row r="8061" spans="1:6" x14ac:dyDescent="0.25">
      <c r="A8061" s="4" t="str">
        <f>CONCATENATE("3071-0000-2735","")</f>
        <v>3071-0000-2735</v>
      </c>
      <c r="B8061" s="4" t="s">
        <v>810</v>
      </c>
      <c r="C8061" s="5">
        <v>41489</v>
      </c>
      <c r="D8061" s="5">
        <v>41549</v>
      </c>
      <c r="E8061" s="4" t="s">
        <v>7</v>
      </c>
      <c r="F8061" s="4" t="s">
        <v>808</v>
      </c>
    </row>
    <row r="8062" spans="1:6" x14ac:dyDescent="0.25">
      <c r="A8062" s="4" t="str">
        <f>CONCATENATE("3071-0000-1936","")</f>
        <v>3071-0000-1936</v>
      </c>
      <c r="B8062" s="4" t="s">
        <v>3040</v>
      </c>
      <c r="C8062" s="5">
        <v>41489</v>
      </c>
      <c r="D8062" s="5">
        <v>41549</v>
      </c>
      <c r="E8062" s="4" t="s">
        <v>2944</v>
      </c>
      <c r="F8062" s="4" t="s">
        <v>2945</v>
      </c>
    </row>
    <row r="8063" spans="1:6" x14ac:dyDescent="0.25">
      <c r="A8063" s="4" t="str">
        <f>CONCATENATE("3071-0000-2075","")</f>
        <v>3071-0000-2075</v>
      </c>
      <c r="B8063" s="4" t="s">
        <v>3455</v>
      </c>
      <c r="C8063" s="5">
        <v>41489</v>
      </c>
      <c r="D8063" s="5">
        <v>41549</v>
      </c>
      <c r="E8063" s="4" t="s">
        <v>2944</v>
      </c>
      <c r="F8063" s="4" t="s">
        <v>2945</v>
      </c>
    </row>
    <row r="8064" spans="1:6" x14ac:dyDescent="0.25">
      <c r="A8064" s="4" t="str">
        <f>CONCATENATE("3071-0000-2707","")</f>
        <v>3071-0000-2707</v>
      </c>
      <c r="B8064" s="4" t="s">
        <v>3463</v>
      </c>
      <c r="C8064" s="5">
        <v>41489</v>
      </c>
      <c r="D8064" s="5">
        <v>41549</v>
      </c>
      <c r="E8064" s="4" t="s">
        <v>2944</v>
      </c>
      <c r="F8064" s="4" t="s">
        <v>3434</v>
      </c>
    </row>
    <row r="8065" spans="1:6" x14ac:dyDescent="0.25">
      <c r="A8065" s="4" t="str">
        <f>CONCATENATE("3071-0000-1384","")</f>
        <v>3071-0000-1384</v>
      </c>
      <c r="B8065" s="4" t="s">
        <v>2561</v>
      </c>
      <c r="C8065" s="5">
        <v>41489</v>
      </c>
      <c r="D8065" s="5">
        <v>41549</v>
      </c>
      <c r="E8065" s="4" t="s">
        <v>1381</v>
      </c>
      <c r="F8065" s="4" t="s">
        <v>2303</v>
      </c>
    </row>
    <row r="8066" spans="1:6" x14ac:dyDescent="0.25">
      <c r="A8066" s="4" t="str">
        <f>CONCATENATE("3071-0000-1713","")</f>
        <v>3071-0000-1713</v>
      </c>
      <c r="B8066" s="4" t="s">
        <v>2558</v>
      </c>
      <c r="C8066" s="5">
        <v>41489</v>
      </c>
      <c r="D8066" s="5">
        <v>41549</v>
      </c>
      <c r="E8066" s="4" t="s">
        <v>1381</v>
      </c>
      <c r="F8066" s="4" t="s">
        <v>2303</v>
      </c>
    </row>
    <row r="8067" spans="1:6" x14ac:dyDescent="0.25">
      <c r="A8067" s="4" t="str">
        <f>CONCATENATE("3071-0000-1381","")</f>
        <v>3071-0000-1381</v>
      </c>
      <c r="B8067" s="4" t="s">
        <v>2556</v>
      </c>
      <c r="C8067" s="5">
        <v>41489</v>
      </c>
      <c r="D8067" s="5">
        <v>41549</v>
      </c>
      <c r="E8067" s="4" t="s">
        <v>1381</v>
      </c>
      <c r="F8067" s="4" t="s">
        <v>2303</v>
      </c>
    </row>
    <row r="8068" spans="1:6" x14ac:dyDescent="0.25">
      <c r="A8068" s="4" t="str">
        <f>CONCATENATE("3071-0000-1694","")</f>
        <v>3071-0000-1694</v>
      </c>
      <c r="B8068" s="4" t="s">
        <v>2782</v>
      </c>
      <c r="C8068" s="5">
        <v>41489</v>
      </c>
      <c r="D8068" s="5">
        <v>41549</v>
      </c>
      <c r="E8068" s="4" t="s">
        <v>1381</v>
      </c>
      <c r="F8068" s="4" t="s">
        <v>2533</v>
      </c>
    </row>
    <row r="8069" spans="1:6" x14ac:dyDescent="0.25">
      <c r="A8069" s="4" t="str">
        <f>CONCATENATE("3071-0000-2565","")</f>
        <v>3071-0000-2565</v>
      </c>
      <c r="B8069" s="4" t="s">
        <v>3267</v>
      </c>
      <c r="C8069" s="5">
        <v>41489</v>
      </c>
      <c r="D8069" s="5">
        <v>41549</v>
      </c>
      <c r="E8069" s="4" t="s">
        <v>2944</v>
      </c>
      <c r="F8069" s="4" t="s">
        <v>3164</v>
      </c>
    </row>
    <row r="8070" spans="1:6" x14ac:dyDescent="0.25">
      <c r="A8070" s="4" t="str">
        <f>CONCATENATE("3071-0000-1225","")</f>
        <v>3071-0000-1225</v>
      </c>
      <c r="B8070" s="4" t="s">
        <v>2283</v>
      </c>
      <c r="C8070" s="5">
        <v>41489</v>
      </c>
      <c r="D8070" s="5">
        <v>41549</v>
      </c>
      <c r="E8070" s="4" t="s">
        <v>1381</v>
      </c>
      <c r="F8070" s="4" t="s">
        <v>2259</v>
      </c>
    </row>
    <row r="8071" spans="1:6" x14ac:dyDescent="0.25">
      <c r="A8071" s="4" t="str">
        <f>CONCATENATE("3071-0000-2292","")</f>
        <v>3071-0000-2292</v>
      </c>
      <c r="B8071" s="4" t="s">
        <v>3741</v>
      </c>
      <c r="C8071" s="5">
        <v>41489</v>
      </c>
      <c r="D8071" s="5">
        <v>41549</v>
      </c>
      <c r="E8071" s="4" t="s">
        <v>2944</v>
      </c>
      <c r="F8071" s="4" t="s">
        <v>2945</v>
      </c>
    </row>
    <row r="8072" spans="1:6" x14ac:dyDescent="0.25">
      <c r="A8072" s="4" t="str">
        <f>CONCATENATE("3071-0000-0718","")</f>
        <v>3071-0000-0718</v>
      </c>
      <c r="B8072" s="4" t="s">
        <v>81</v>
      </c>
      <c r="C8072" s="5">
        <v>41489</v>
      </c>
      <c r="D8072" s="5">
        <v>41549</v>
      </c>
      <c r="E8072" s="4" t="s">
        <v>7</v>
      </c>
      <c r="F8072" s="4" t="s">
        <v>7</v>
      </c>
    </row>
    <row r="8073" spans="1:6" x14ac:dyDescent="0.25">
      <c r="A8073" s="4" t="str">
        <f>CONCATENATE("3071-0000-1105","")</f>
        <v>3071-0000-1105</v>
      </c>
      <c r="B8073" s="4" t="s">
        <v>2298</v>
      </c>
      <c r="C8073" s="5">
        <v>41489</v>
      </c>
      <c r="D8073" s="5">
        <v>41549</v>
      </c>
      <c r="E8073" s="4" t="s">
        <v>1381</v>
      </c>
      <c r="F8073" s="4" t="s">
        <v>2259</v>
      </c>
    </row>
    <row r="8074" spans="1:6" x14ac:dyDescent="0.25">
      <c r="A8074" s="4" t="str">
        <f>CONCATENATE("3071-0000-7216","")</f>
        <v>3071-0000-7216</v>
      </c>
      <c r="B8074" s="4" t="s">
        <v>5024</v>
      </c>
      <c r="C8074" s="5">
        <v>41489</v>
      </c>
      <c r="D8074" s="5">
        <v>41549</v>
      </c>
      <c r="E8074" s="4" t="s">
        <v>1410</v>
      </c>
      <c r="F8074" s="4" t="s">
        <v>1410</v>
      </c>
    </row>
    <row r="8075" spans="1:6" x14ac:dyDescent="0.25">
      <c r="A8075" s="4" t="str">
        <f>CONCATENATE("3071-0000-8392","")</f>
        <v>3071-0000-8392</v>
      </c>
      <c r="B8075" s="4" t="s">
        <v>5871</v>
      </c>
      <c r="C8075" s="5">
        <v>41489</v>
      </c>
      <c r="D8075" s="5">
        <v>41549</v>
      </c>
      <c r="E8075" s="4" t="s">
        <v>5185</v>
      </c>
      <c r="F8075" s="4" t="s">
        <v>5185</v>
      </c>
    </row>
    <row r="8076" spans="1:6" x14ac:dyDescent="0.25">
      <c r="A8076" s="4" t="str">
        <f>CONCATENATE("3071-0000-6812","")</f>
        <v>3071-0000-6812</v>
      </c>
      <c r="B8076" s="4" t="s">
        <v>8004</v>
      </c>
      <c r="C8076" s="5">
        <v>41489</v>
      </c>
      <c r="D8076" s="5">
        <v>41549</v>
      </c>
      <c r="E8076" s="4" t="s">
        <v>1410</v>
      </c>
      <c r="F8076" s="4" t="s">
        <v>7967</v>
      </c>
    </row>
    <row r="8077" spans="1:6" x14ac:dyDescent="0.25">
      <c r="A8077" s="4" t="str">
        <f>CONCATENATE("3071-0000-6790","")</f>
        <v>3071-0000-6790</v>
      </c>
      <c r="B8077" s="4" t="s">
        <v>8248</v>
      </c>
      <c r="C8077" s="5">
        <v>41489</v>
      </c>
      <c r="D8077" s="5">
        <v>41549</v>
      </c>
      <c r="E8077" s="4" t="s">
        <v>1410</v>
      </c>
      <c r="F8077" s="4" t="s">
        <v>8192</v>
      </c>
    </row>
    <row r="8078" spans="1:6" x14ac:dyDescent="0.25">
      <c r="A8078" s="4" t="str">
        <f>CONCATENATE("3071-0000-6765","")</f>
        <v>3071-0000-6765</v>
      </c>
      <c r="B8078" s="4" t="s">
        <v>8261</v>
      </c>
      <c r="C8078" s="5">
        <v>41489</v>
      </c>
      <c r="D8078" s="5">
        <v>41549</v>
      </c>
      <c r="E8078" s="4" t="s">
        <v>1410</v>
      </c>
      <c r="F8078" s="4" t="s">
        <v>8192</v>
      </c>
    </row>
    <row r="8079" spans="1:6" x14ac:dyDescent="0.25">
      <c r="A8079" s="4" t="str">
        <f>CONCATENATE("3071-0000-6775","")</f>
        <v>3071-0000-6775</v>
      </c>
      <c r="B8079" s="4" t="s">
        <v>8199</v>
      </c>
      <c r="C8079" s="5">
        <v>41489</v>
      </c>
      <c r="D8079" s="5">
        <v>41549</v>
      </c>
      <c r="E8079" s="4" t="s">
        <v>1410</v>
      </c>
      <c r="F8079" s="4" t="s">
        <v>8192</v>
      </c>
    </row>
    <row r="8080" spans="1:6" x14ac:dyDescent="0.25">
      <c r="A8080" s="4" t="str">
        <f>CONCATENATE("3071-0000-7691","")</f>
        <v>3071-0000-7691</v>
      </c>
      <c r="B8080" s="4" t="s">
        <v>4855</v>
      </c>
      <c r="C8080" s="5">
        <v>41489</v>
      </c>
      <c r="D8080" s="5">
        <v>41549</v>
      </c>
      <c r="E8080" s="4" t="s">
        <v>1410</v>
      </c>
      <c r="F8080" s="4" t="s">
        <v>4655</v>
      </c>
    </row>
    <row r="8081" spans="1:6" x14ac:dyDescent="0.25">
      <c r="A8081" s="4" t="str">
        <f>CONCATENATE("3071-0000-9627","")</f>
        <v>3071-0000-9627</v>
      </c>
      <c r="B8081" s="4" t="s">
        <v>8545</v>
      </c>
      <c r="C8081" s="5">
        <v>41489</v>
      </c>
      <c r="D8081" s="5">
        <v>41549</v>
      </c>
      <c r="E8081" s="4" t="s">
        <v>1410</v>
      </c>
      <c r="F8081" s="4" t="s">
        <v>4459</v>
      </c>
    </row>
    <row r="8082" spans="1:6" x14ac:dyDescent="0.25">
      <c r="A8082" s="4" t="str">
        <f>CONCATENATE("3071-0000-6771","")</f>
        <v>3071-0000-6771</v>
      </c>
      <c r="B8082" s="4" t="s">
        <v>7766</v>
      </c>
      <c r="C8082" s="5">
        <v>41489</v>
      </c>
      <c r="D8082" s="5">
        <v>41549</v>
      </c>
      <c r="E8082" s="4" t="s">
        <v>1410</v>
      </c>
      <c r="F8082" s="4" t="s">
        <v>4655</v>
      </c>
    </row>
    <row r="8083" spans="1:6" x14ac:dyDescent="0.25">
      <c r="A8083" s="4" t="str">
        <f>CONCATENATE("3071-0000-6767","")</f>
        <v>3071-0000-6767</v>
      </c>
      <c r="B8083" s="4" t="s">
        <v>8263</v>
      </c>
      <c r="C8083" s="5">
        <v>41489</v>
      </c>
      <c r="D8083" s="5">
        <v>41549</v>
      </c>
      <c r="E8083" s="4" t="s">
        <v>1410</v>
      </c>
      <c r="F8083" s="4" t="s">
        <v>8192</v>
      </c>
    </row>
    <row r="8084" spans="1:6" x14ac:dyDescent="0.25">
      <c r="A8084" s="4" t="str">
        <f>CONCATENATE("3071-0000-3386","")</f>
        <v>3071-0000-3386</v>
      </c>
      <c r="B8084" s="4" t="s">
        <v>1531</v>
      </c>
      <c r="C8084" s="5">
        <v>41489</v>
      </c>
      <c r="D8084" s="5">
        <v>41549</v>
      </c>
      <c r="E8084" s="4" t="s">
        <v>1410</v>
      </c>
      <c r="F8084" s="4" t="s">
        <v>1411</v>
      </c>
    </row>
    <row r="8085" spans="1:6" x14ac:dyDescent="0.25">
      <c r="A8085" s="4" t="str">
        <f>CONCATENATE("3071-0000-3970","")</f>
        <v>3071-0000-3970</v>
      </c>
      <c r="B8085" s="4" t="s">
        <v>4196</v>
      </c>
      <c r="C8085" s="5">
        <v>41489</v>
      </c>
      <c r="D8085" s="5">
        <v>41549</v>
      </c>
      <c r="E8085" s="4" t="s">
        <v>2944</v>
      </c>
      <c r="F8085" s="4" t="s">
        <v>3513</v>
      </c>
    </row>
    <row r="8086" spans="1:6" x14ac:dyDescent="0.25">
      <c r="A8086" s="4" t="str">
        <f>CONCATENATE("3071-0000-9003","")</f>
        <v>3071-0000-9003</v>
      </c>
      <c r="B8086" s="4" t="s">
        <v>6199</v>
      </c>
      <c r="C8086" s="5">
        <v>41489</v>
      </c>
      <c r="D8086" s="5">
        <v>41549</v>
      </c>
      <c r="E8086" s="4" t="s">
        <v>5185</v>
      </c>
      <c r="F8086" s="4" t="s">
        <v>6181</v>
      </c>
    </row>
    <row r="8087" spans="1:6" x14ac:dyDescent="0.25">
      <c r="A8087" s="4" t="str">
        <f>CONCATENATE("3071-0000-1984","")</f>
        <v>3071-0000-1984</v>
      </c>
      <c r="B8087" s="4" t="s">
        <v>3123</v>
      </c>
      <c r="C8087" s="5">
        <v>41489</v>
      </c>
      <c r="D8087" s="5">
        <v>41549</v>
      </c>
      <c r="E8087" s="4" t="s">
        <v>2944</v>
      </c>
      <c r="F8087" s="4" t="s">
        <v>2945</v>
      </c>
    </row>
    <row r="8088" spans="1:6" x14ac:dyDescent="0.25">
      <c r="A8088" s="4" t="str">
        <f>CONCATENATE("3071-0000-0387","")</f>
        <v>3071-0000-0387</v>
      </c>
      <c r="B8088" s="4" t="s">
        <v>575</v>
      </c>
      <c r="C8088" s="5">
        <v>41489</v>
      </c>
      <c r="D8088" s="5">
        <v>41549</v>
      </c>
      <c r="E8088" s="4" t="s">
        <v>7</v>
      </c>
      <c r="F8088" s="4" t="s">
        <v>7</v>
      </c>
    </row>
    <row r="8089" spans="1:6" x14ac:dyDescent="0.25">
      <c r="A8089" s="4" t="str">
        <f>CONCATENATE("3071-0000-4972","")</f>
        <v>3071-0000-4972</v>
      </c>
      <c r="B8089" s="4" t="s">
        <v>9573</v>
      </c>
      <c r="C8089" s="5">
        <v>41489</v>
      </c>
      <c r="D8089" s="5">
        <v>41549</v>
      </c>
      <c r="E8089" s="4" t="s">
        <v>7069</v>
      </c>
      <c r="F8089" s="4" t="s">
        <v>9485</v>
      </c>
    </row>
    <row r="8090" spans="1:6" x14ac:dyDescent="0.25">
      <c r="A8090" s="4" t="str">
        <f>CONCATENATE("3071-0000-6309","")</f>
        <v>3071-0000-6309</v>
      </c>
      <c r="B8090" s="4" t="s">
        <v>7071</v>
      </c>
      <c r="C8090" s="5">
        <v>41489</v>
      </c>
      <c r="D8090" s="5">
        <v>41549</v>
      </c>
      <c r="E8090" s="4" t="s">
        <v>7069</v>
      </c>
      <c r="F8090" s="4" t="s">
        <v>7070</v>
      </c>
    </row>
    <row r="8091" spans="1:6" x14ac:dyDescent="0.25">
      <c r="A8091" s="4" t="str">
        <f>CONCATENATE("3071-0000-4227","")</f>
        <v>3071-0000-4227</v>
      </c>
      <c r="B8091" s="4" t="s">
        <v>9499</v>
      </c>
      <c r="C8091" s="5">
        <v>41489</v>
      </c>
      <c r="D8091" s="5">
        <v>41549</v>
      </c>
      <c r="E8091" s="4" t="s">
        <v>7069</v>
      </c>
      <c r="F8091" s="4" t="s">
        <v>9485</v>
      </c>
    </row>
    <row r="8092" spans="1:6" x14ac:dyDescent="0.25">
      <c r="A8092" s="4" t="str">
        <f>CONCATENATE("3071-0000-6278","")</f>
        <v>3071-0000-6278</v>
      </c>
      <c r="B8092" s="4" t="s">
        <v>7079</v>
      </c>
      <c r="C8092" s="5">
        <v>41489</v>
      </c>
      <c r="D8092" s="5">
        <v>41549</v>
      </c>
      <c r="E8092" s="4" t="s">
        <v>7069</v>
      </c>
      <c r="F8092" s="4" t="s">
        <v>7070</v>
      </c>
    </row>
    <row r="8093" spans="1:6" x14ac:dyDescent="0.25">
      <c r="A8093" s="4" t="str">
        <f>CONCATENATE("3071-0000-4689","")</f>
        <v>3071-0000-4689</v>
      </c>
      <c r="B8093" s="4" t="s">
        <v>9206</v>
      </c>
      <c r="C8093" s="5">
        <v>41489</v>
      </c>
      <c r="D8093" s="5">
        <v>41549</v>
      </c>
      <c r="E8093" s="4" t="s">
        <v>1410</v>
      </c>
      <c r="F8093" s="4" t="s">
        <v>8696</v>
      </c>
    </row>
    <row r="8094" spans="1:6" x14ac:dyDescent="0.25">
      <c r="A8094" s="4" t="str">
        <f>CONCATENATE("3071-0000-9194","")</f>
        <v>3071-0000-9194</v>
      </c>
      <c r="B8094" s="4" t="s">
        <v>5502</v>
      </c>
      <c r="C8094" s="5">
        <v>41489</v>
      </c>
      <c r="D8094" s="5">
        <v>41549</v>
      </c>
      <c r="E8094" s="4" t="s">
        <v>5185</v>
      </c>
      <c r="F8094" s="4" t="s">
        <v>5250</v>
      </c>
    </row>
    <row r="8095" spans="1:6" x14ac:dyDescent="0.25">
      <c r="A8095" s="4" t="str">
        <f>CONCATENATE("3071-0000-1074","")</f>
        <v>3071-0000-1074</v>
      </c>
      <c r="B8095" s="4" t="s">
        <v>1919</v>
      </c>
      <c r="C8095" s="5">
        <v>41489</v>
      </c>
      <c r="D8095" s="5">
        <v>41549</v>
      </c>
      <c r="E8095" s="4" t="s">
        <v>1857</v>
      </c>
      <c r="F8095" s="4" t="s">
        <v>1857</v>
      </c>
    </row>
    <row r="8096" spans="1:6" x14ac:dyDescent="0.25">
      <c r="A8096" s="4" t="str">
        <f>CONCATENATE("3071-0000-9490","")</f>
        <v>3071-0000-9490</v>
      </c>
      <c r="B8096" s="4" t="s">
        <v>8582</v>
      </c>
      <c r="C8096" s="5">
        <v>41489</v>
      </c>
      <c r="D8096" s="5">
        <v>41549</v>
      </c>
      <c r="E8096" s="4" t="s">
        <v>1410</v>
      </c>
      <c r="F8096" s="4" t="s">
        <v>4459</v>
      </c>
    </row>
    <row r="8097" spans="1:6" x14ac:dyDescent="0.25">
      <c r="A8097" s="4" t="str">
        <f>CONCATENATE("3071-0000-6734","")</f>
        <v>3071-0000-6734</v>
      </c>
      <c r="B8097" s="4" t="s">
        <v>7993</v>
      </c>
      <c r="C8097" s="5">
        <v>41489</v>
      </c>
      <c r="D8097" s="5">
        <v>41549</v>
      </c>
      <c r="E8097" s="4" t="s">
        <v>5185</v>
      </c>
      <c r="F8097" s="4" t="s">
        <v>5185</v>
      </c>
    </row>
    <row r="8098" spans="1:6" x14ac:dyDescent="0.25">
      <c r="A8098" s="4" t="str">
        <f>CONCATENATE("3071-0000-4556","")</f>
        <v>3071-0000-4556</v>
      </c>
      <c r="B8098" s="4" t="s">
        <v>9083</v>
      </c>
      <c r="C8098" s="5">
        <v>41489</v>
      </c>
      <c r="D8098" s="5">
        <v>41549</v>
      </c>
      <c r="E8098" s="4" t="s">
        <v>1410</v>
      </c>
      <c r="F8098" s="4" t="s">
        <v>8696</v>
      </c>
    </row>
    <row r="8099" spans="1:6" x14ac:dyDescent="0.25">
      <c r="A8099" s="4" t="str">
        <f>CONCATENATE("3071-0000-6735","")</f>
        <v>3071-0000-6735</v>
      </c>
      <c r="B8099" s="4" t="s">
        <v>7989</v>
      </c>
      <c r="C8099" s="5">
        <v>41489</v>
      </c>
      <c r="D8099" s="5">
        <v>41549</v>
      </c>
      <c r="E8099" s="4" t="s">
        <v>5185</v>
      </c>
      <c r="F8099" s="4" t="s">
        <v>5185</v>
      </c>
    </row>
    <row r="8100" spans="1:6" x14ac:dyDescent="0.25">
      <c r="A8100" s="4" t="str">
        <f>CONCATENATE("3071-0000-3098","")</f>
        <v>3071-0000-3098</v>
      </c>
      <c r="B8100" s="4" t="s">
        <v>1222</v>
      </c>
      <c r="C8100" s="5">
        <v>41489</v>
      </c>
      <c r="D8100" s="5">
        <v>41549</v>
      </c>
      <c r="E8100" s="4" t="s">
        <v>7</v>
      </c>
      <c r="F8100" s="4" t="s">
        <v>808</v>
      </c>
    </row>
    <row r="8101" spans="1:6" x14ac:dyDescent="0.25">
      <c r="A8101" s="4" t="str">
        <f>CONCATENATE("3071-0000-0438","")</f>
        <v>3071-0000-0438</v>
      </c>
      <c r="B8101" s="4" t="s">
        <v>50</v>
      </c>
      <c r="C8101" s="5">
        <v>41489</v>
      </c>
      <c r="D8101" s="5">
        <v>41549</v>
      </c>
      <c r="E8101" s="4" t="s">
        <v>7</v>
      </c>
      <c r="F8101" s="4" t="s">
        <v>7</v>
      </c>
    </row>
    <row r="8102" spans="1:6" x14ac:dyDescent="0.25">
      <c r="A8102" s="4" t="str">
        <f>CONCATENATE("3071-0000-2564","")</f>
        <v>3071-0000-2564</v>
      </c>
      <c r="B8102" s="4" t="s">
        <v>3695</v>
      </c>
      <c r="C8102" s="5">
        <v>41489</v>
      </c>
      <c r="D8102" s="5">
        <v>41549</v>
      </c>
      <c r="E8102" s="4" t="s">
        <v>2944</v>
      </c>
      <c r="F8102" s="4" t="s">
        <v>3164</v>
      </c>
    </row>
    <row r="8103" spans="1:6" x14ac:dyDescent="0.25">
      <c r="A8103" s="4" t="str">
        <f>CONCATENATE("3071-0000-4220","")</f>
        <v>3071-0000-4220</v>
      </c>
      <c r="B8103" s="4" t="s">
        <v>3900</v>
      </c>
      <c r="C8103" s="5">
        <v>41489</v>
      </c>
      <c r="D8103" s="5">
        <v>41549</v>
      </c>
      <c r="E8103" s="4" t="s">
        <v>7</v>
      </c>
      <c r="F8103" s="4" t="s">
        <v>3818</v>
      </c>
    </row>
    <row r="8104" spans="1:6" x14ac:dyDescent="0.25">
      <c r="A8104" s="4" t="str">
        <f>CONCATENATE("3071-0000-2726","")</f>
        <v>3071-0000-2726</v>
      </c>
      <c r="B8104" s="4" t="s">
        <v>3587</v>
      </c>
      <c r="C8104" s="5">
        <v>41489</v>
      </c>
      <c r="D8104" s="5">
        <v>41549</v>
      </c>
      <c r="E8104" s="4" t="s">
        <v>2944</v>
      </c>
      <c r="F8104" s="4" t="s">
        <v>3567</v>
      </c>
    </row>
    <row r="8105" spans="1:6" x14ac:dyDescent="0.25">
      <c r="A8105" s="4" t="str">
        <f>CONCATENATE("3071-0000-2839","")</f>
        <v>3071-0000-2839</v>
      </c>
      <c r="B8105" s="4" t="s">
        <v>1108</v>
      </c>
      <c r="C8105" s="5">
        <v>41489</v>
      </c>
      <c r="D8105" s="5">
        <v>41549</v>
      </c>
      <c r="E8105" s="4" t="s">
        <v>7</v>
      </c>
      <c r="F8105" s="4" t="s">
        <v>808</v>
      </c>
    </row>
    <row r="8106" spans="1:6" x14ac:dyDescent="0.25">
      <c r="A8106" s="4" t="str">
        <f>CONCATENATE("3071-0000-1140","")</f>
        <v>3071-0000-1140</v>
      </c>
      <c r="B8106" s="4" t="s">
        <v>2179</v>
      </c>
      <c r="C8106" s="5">
        <v>41489</v>
      </c>
      <c r="D8106" s="5">
        <v>41549</v>
      </c>
      <c r="E8106" s="4" t="s">
        <v>1857</v>
      </c>
      <c r="F8106" s="4" t="s">
        <v>2180</v>
      </c>
    </row>
    <row r="8107" spans="1:6" x14ac:dyDescent="0.25">
      <c r="A8107" s="4" t="str">
        <f>CONCATENATE("3071-0000-0013","")</f>
        <v>3071-0000-0013</v>
      </c>
      <c r="B8107" s="4" t="s">
        <v>26</v>
      </c>
      <c r="C8107" s="5">
        <v>41489</v>
      </c>
      <c r="D8107" s="5">
        <v>41549</v>
      </c>
      <c r="E8107" s="4" t="s">
        <v>7</v>
      </c>
      <c r="F8107" s="4" t="s">
        <v>7</v>
      </c>
    </row>
    <row r="8108" spans="1:6" x14ac:dyDescent="0.25">
      <c r="A8108" s="4" t="str">
        <f>CONCATENATE("3071-0000-2953","")</f>
        <v>3071-0000-2953</v>
      </c>
      <c r="B8108" s="4" t="s">
        <v>1310</v>
      </c>
      <c r="C8108" s="5">
        <v>41489</v>
      </c>
      <c r="D8108" s="5">
        <v>41549</v>
      </c>
      <c r="E8108" s="4" t="s">
        <v>7</v>
      </c>
      <c r="F8108" s="4" t="s">
        <v>808</v>
      </c>
    </row>
    <row r="8109" spans="1:6" x14ac:dyDescent="0.25">
      <c r="A8109" s="4" t="str">
        <f>CONCATENATE("3071-0000-2490","")</f>
        <v>3071-0000-2490</v>
      </c>
      <c r="B8109" s="4" t="s">
        <v>3637</v>
      </c>
      <c r="C8109" s="5">
        <v>41489</v>
      </c>
      <c r="D8109" s="5">
        <v>41549</v>
      </c>
      <c r="E8109" s="4" t="s">
        <v>2944</v>
      </c>
      <c r="F8109" s="4" t="s">
        <v>3567</v>
      </c>
    </row>
    <row r="8110" spans="1:6" x14ac:dyDescent="0.25">
      <c r="A8110" s="4" t="str">
        <f>CONCATENATE("3071-0000-2558","")</f>
        <v>3071-0000-2558</v>
      </c>
      <c r="B8110" s="4" t="s">
        <v>3691</v>
      </c>
      <c r="C8110" s="5">
        <v>41489</v>
      </c>
      <c r="D8110" s="5">
        <v>41549</v>
      </c>
      <c r="E8110" s="4" t="s">
        <v>2944</v>
      </c>
      <c r="F8110" s="4" t="s">
        <v>3164</v>
      </c>
    </row>
    <row r="8111" spans="1:6" x14ac:dyDescent="0.25">
      <c r="A8111" s="4" t="str">
        <f>CONCATENATE("3071-0000-8126","")</f>
        <v>3071-0000-8126</v>
      </c>
      <c r="B8111" s="4" t="s">
        <v>6026</v>
      </c>
      <c r="C8111" s="5">
        <v>41489</v>
      </c>
      <c r="D8111" s="5">
        <v>41549</v>
      </c>
      <c r="E8111" s="4" t="s">
        <v>5185</v>
      </c>
      <c r="F8111" s="4" t="s">
        <v>5185</v>
      </c>
    </row>
    <row r="8112" spans="1:6" x14ac:dyDescent="0.25">
      <c r="A8112" s="4" t="str">
        <f>CONCATENATE("3071-0000-9258","")</f>
        <v>3071-0000-9258</v>
      </c>
      <c r="B8112" s="4" t="s">
        <v>8625</v>
      </c>
      <c r="C8112" s="5">
        <v>41489</v>
      </c>
      <c r="D8112" s="5">
        <v>41549</v>
      </c>
      <c r="E8112" s="4" t="s">
        <v>5185</v>
      </c>
      <c r="F8112" s="4" t="s">
        <v>5185</v>
      </c>
    </row>
    <row r="8113" spans="1:6" x14ac:dyDescent="0.25">
      <c r="A8113" s="4" t="str">
        <f>CONCATENATE("3071-0000-9537","")</f>
        <v>3071-0000-9537</v>
      </c>
      <c r="B8113" s="4" t="s">
        <v>8633</v>
      </c>
      <c r="C8113" s="5">
        <v>41489</v>
      </c>
      <c r="D8113" s="5">
        <v>41549</v>
      </c>
      <c r="E8113" s="4" t="s">
        <v>1410</v>
      </c>
      <c r="F8113" s="4" t="s">
        <v>4459</v>
      </c>
    </row>
    <row r="8114" spans="1:6" x14ac:dyDescent="0.25">
      <c r="A8114" s="4" t="str">
        <f>CONCATENATE("3071-0000-0504","")</f>
        <v>3071-0000-0504</v>
      </c>
      <c r="B8114" s="4" t="s">
        <v>752</v>
      </c>
      <c r="C8114" s="5">
        <v>41489</v>
      </c>
      <c r="D8114" s="5">
        <v>41549</v>
      </c>
      <c r="E8114" s="4" t="s">
        <v>7</v>
      </c>
      <c r="F8114" s="4" t="s">
        <v>273</v>
      </c>
    </row>
    <row r="8115" spans="1:6" x14ac:dyDescent="0.25">
      <c r="A8115" s="4" t="str">
        <f>CONCATENATE("3071-0000-0924","")</f>
        <v>3071-0000-0924</v>
      </c>
      <c r="B8115" s="4" t="s">
        <v>2101</v>
      </c>
      <c r="C8115" s="5">
        <v>41489</v>
      </c>
      <c r="D8115" s="5">
        <v>41549</v>
      </c>
      <c r="E8115" s="4" t="s">
        <v>1857</v>
      </c>
      <c r="F8115" s="4" t="s">
        <v>1857</v>
      </c>
    </row>
    <row r="8116" spans="1:6" x14ac:dyDescent="0.25">
      <c r="A8116" s="4" t="str">
        <f>CONCATENATE("3071-0000-3783","")</f>
        <v>3071-0000-3783</v>
      </c>
      <c r="B8116" s="4" t="s">
        <v>3826</v>
      </c>
      <c r="C8116" s="5">
        <v>41489</v>
      </c>
      <c r="D8116" s="5">
        <v>41549</v>
      </c>
      <c r="E8116" s="4" t="s">
        <v>7</v>
      </c>
      <c r="F8116" s="4" t="s">
        <v>3818</v>
      </c>
    </row>
    <row r="8117" spans="1:6" x14ac:dyDescent="0.25">
      <c r="A8117" s="4" t="str">
        <f>CONCATENATE("3071-0000-0973","")</f>
        <v>3071-0000-0973</v>
      </c>
      <c r="B8117" s="4" t="s">
        <v>2130</v>
      </c>
      <c r="C8117" s="5">
        <v>41489</v>
      </c>
      <c r="D8117" s="5">
        <v>41549</v>
      </c>
      <c r="E8117" s="4" t="s">
        <v>1857</v>
      </c>
      <c r="F8117" s="4" t="s">
        <v>1857</v>
      </c>
    </row>
    <row r="8118" spans="1:6" x14ac:dyDescent="0.25">
      <c r="A8118" s="4" t="str">
        <f>CONCATENATE("3071-0000-2095","")</f>
        <v>3071-0000-2095</v>
      </c>
      <c r="B8118" s="4" t="s">
        <v>3481</v>
      </c>
      <c r="C8118" s="5">
        <v>41489</v>
      </c>
      <c r="D8118" s="5">
        <v>41549</v>
      </c>
      <c r="E8118" s="4" t="s">
        <v>2944</v>
      </c>
      <c r="F8118" s="4" t="s">
        <v>2945</v>
      </c>
    </row>
    <row r="8119" spans="1:6" x14ac:dyDescent="0.25">
      <c r="A8119" s="4" t="str">
        <f>CONCATENATE("3071-0000-8465","")</f>
        <v>3071-0000-8465</v>
      </c>
      <c r="B8119" s="4" t="s">
        <v>6049</v>
      </c>
      <c r="C8119" s="5">
        <v>41489</v>
      </c>
      <c r="D8119" s="5">
        <v>41549</v>
      </c>
      <c r="E8119" s="4" t="s">
        <v>5185</v>
      </c>
      <c r="F8119" s="4" t="s">
        <v>5945</v>
      </c>
    </row>
    <row r="8120" spans="1:6" x14ac:dyDescent="0.25">
      <c r="A8120" s="4" t="str">
        <f>CONCATENATE("3071-0000-6367","")</f>
        <v>3071-0000-6367</v>
      </c>
      <c r="B8120" s="4" t="s">
        <v>7894</v>
      </c>
      <c r="C8120" s="5">
        <v>41489</v>
      </c>
      <c r="D8120" s="5">
        <v>41549</v>
      </c>
      <c r="E8120" s="4" t="s">
        <v>5185</v>
      </c>
      <c r="F8120" s="4" t="s">
        <v>5185</v>
      </c>
    </row>
    <row r="8121" spans="1:6" x14ac:dyDescent="0.25">
      <c r="A8121" s="4" t="str">
        <f>CONCATENATE("3071-0000-0595","")</f>
        <v>3071-0000-0595</v>
      </c>
      <c r="B8121" s="4" t="s">
        <v>300</v>
      </c>
      <c r="C8121" s="5">
        <v>41489</v>
      </c>
      <c r="D8121" s="5">
        <v>41549</v>
      </c>
      <c r="E8121" s="4" t="s">
        <v>7</v>
      </c>
      <c r="F8121" s="4" t="s">
        <v>7</v>
      </c>
    </row>
    <row r="8122" spans="1:6" x14ac:dyDescent="0.25">
      <c r="A8122" s="4" t="str">
        <f>CONCATENATE("3071-0000-2031","")</f>
        <v>3071-0000-2031</v>
      </c>
      <c r="B8122" s="4" t="s">
        <v>3362</v>
      </c>
      <c r="C8122" s="5">
        <v>41489</v>
      </c>
      <c r="D8122" s="5">
        <v>41549</v>
      </c>
      <c r="E8122" s="4" t="s">
        <v>2944</v>
      </c>
      <c r="F8122" s="4" t="s">
        <v>2945</v>
      </c>
    </row>
    <row r="8123" spans="1:6" x14ac:dyDescent="0.25">
      <c r="A8123" s="4" t="str">
        <f>CONCATENATE("3071-0000-4821","")</f>
        <v>3071-0000-4821</v>
      </c>
      <c r="B8123" s="4" t="s">
        <v>9015</v>
      </c>
      <c r="C8123" s="5">
        <v>41489</v>
      </c>
      <c r="D8123" s="5">
        <v>41549</v>
      </c>
      <c r="E8123" s="4" t="s">
        <v>1410</v>
      </c>
      <c r="F8123" s="4" t="s">
        <v>8696</v>
      </c>
    </row>
    <row r="8124" spans="1:6" x14ac:dyDescent="0.25">
      <c r="A8124" s="4" t="str">
        <f>CONCATENATE("3071-0000-6211","")</f>
        <v>3071-0000-6211</v>
      </c>
      <c r="B8124" s="4" t="s">
        <v>7152</v>
      </c>
      <c r="C8124" s="5">
        <v>41489</v>
      </c>
      <c r="D8124" s="5">
        <v>41549</v>
      </c>
      <c r="E8124" s="4" t="s">
        <v>7069</v>
      </c>
      <c r="F8124" s="4" t="s">
        <v>7120</v>
      </c>
    </row>
    <row r="8125" spans="1:6" x14ac:dyDescent="0.25">
      <c r="A8125" s="4" t="str">
        <f>CONCATENATE("3071-0000-8369","")</f>
        <v>3071-0000-8369</v>
      </c>
      <c r="B8125" s="4" t="s">
        <v>5225</v>
      </c>
      <c r="C8125" s="5">
        <v>41489</v>
      </c>
      <c r="D8125" s="5">
        <v>41549</v>
      </c>
      <c r="E8125" s="4" t="s">
        <v>5185</v>
      </c>
      <c r="F8125" s="4" t="s">
        <v>5185</v>
      </c>
    </row>
    <row r="8126" spans="1:6" x14ac:dyDescent="0.25">
      <c r="A8126" s="4" t="str">
        <f>CONCATENATE("3071-0000-8119","")</f>
        <v>3071-0000-8119</v>
      </c>
      <c r="B8126" s="4" t="s">
        <v>5995</v>
      </c>
      <c r="C8126" s="5">
        <v>41489</v>
      </c>
      <c r="D8126" s="5">
        <v>41549</v>
      </c>
      <c r="E8126" s="4" t="s">
        <v>5185</v>
      </c>
      <c r="F8126" s="4" t="s">
        <v>5185</v>
      </c>
    </row>
    <row r="8127" spans="1:6" x14ac:dyDescent="0.25">
      <c r="A8127" s="4" t="str">
        <f>CONCATENATE("3071-0000-8470","")</f>
        <v>3071-0000-8470</v>
      </c>
      <c r="B8127" s="4" t="s">
        <v>6045</v>
      </c>
      <c r="C8127" s="5">
        <v>41489</v>
      </c>
      <c r="D8127" s="5">
        <v>41549</v>
      </c>
      <c r="E8127" s="4" t="s">
        <v>5185</v>
      </c>
      <c r="F8127" s="4" t="s">
        <v>5945</v>
      </c>
    </row>
    <row r="8128" spans="1:6" x14ac:dyDescent="0.25">
      <c r="A8128" s="4" t="str">
        <f>CONCATENATE("3071-0000-0119","")</f>
        <v>3071-0000-0119</v>
      </c>
      <c r="B8128" s="4" t="s">
        <v>258</v>
      </c>
      <c r="C8128" s="5">
        <v>41489</v>
      </c>
      <c r="D8128" s="5">
        <v>41549</v>
      </c>
      <c r="E8128" s="4" t="s">
        <v>7</v>
      </c>
      <c r="F8128" s="4" t="s">
        <v>7</v>
      </c>
    </row>
    <row r="8129" spans="1:6" x14ac:dyDescent="0.25">
      <c r="A8129" s="4" t="str">
        <f>CONCATENATE("3071-0000-0455","")</f>
        <v>3071-0000-0455</v>
      </c>
      <c r="B8129" s="4" t="s">
        <v>394</v>
      </c>
      <c r="C8129" s="5">
        <v>41489</v>
      </c>
      <c r="D8129" s="5">
        <v>41549</v>
      </c>
      <c r="E8129" s="4" t="s">
        <v>7</v>
      </c>
      <c r="F8129" s="4" t="s">
        <v>7</v>
      </c>
    </row>
    <row r="8130" spans="1:6" x14ac:dyDescent="0.25">
      <c r="A8130" s="4" t="str">
        <f>CONCATENATE("3071-0000-0128","")</f>
        <v>3071-0000-0128</v>
      </c>
      <c r="B8130" s="4" t="s">
        <v>441</v>
      </c>
      <c r="C8130" s="5">
        <v>41489</v>
      </c>
      <c r="D8130" s="5">
        <v>41549</v>
      </c>
      <c r="E8130" s="4" t="s">
        <v>7</v>
      </c>
      <c r="F8130" s="4" t="s">
        <v>7</v>
      </c>
    </row>
    <row r="8131" spans="1:6" x14ac:dyDescent="0.25">
      <c r="A8131" s="4" t="str">
        <f>CONCATENATE("3071-0000-5988","")</f>
        <v>3071-0000-5988</v>
      </c>
      <c r="B8131" s="4" t="s">
        <v>7230</v>
      </c>
      <c r="C8131" s="5">
        <v>41489</v>
      </c>
      <c r="D8131" s="5">
        <v>41549</v>
      </c>
      <c r="E8131" s="4" t="s">
        <v>5185</v>
      </c>
      <c r="F8131" s="4" t="s">
        <v>5185</v>
      </c>
    </row>
    <row r="8132" spans="1:6" x14ac:dyDescent="0.25">
      <c r="A8132" s="4" t="str">
        <f>CONCATENATE("3071-0000-1928","")</f>
        <v>3071-0000-1928</v>
      </c>
      <c r="B8132" s="4" t="s">
        <v>3027</v>
      </c>
      <c r="C8132" s="5">
        <v>41489</v>
      </c>
      <c r="D8132" s="5">
        <v>41549</v>
      </c>
      <c r="E8132" s="4" t="s">
        <v>2944</v>
      </c>
      <c r="F8132" s="4" t="s">
        <v>2945</v>
      </c>
    </row>
    <row r="8133" spans="1:6" x14ac:dyDescent="0.25">
      <c r="A8133" s="4" t="str">
        <f>CONCATENATE("3071-0000-1993","")</f>
        <v>3071-0000-1993</v>
      </c>
      <c r="B8133" s="4" t="s">
        <v>3140</v>
      </c>
      <c r="C8133" s="5">
        <v>41489</v>
      </c>
      <c r="D8133" s="5">
        <v>41549</v>
      </c>
      <c r="E8133" s="4" t="s">
        <v>2944</v>
      </c>
      <c r="F8133" s="4" t="s">
        <v>2945</v>
      </c>
    </row>
    <row r="8134" spans="1:6" x14ac:dyDescent="0.25">
      <c r="A8134" s="4" t="str">
        <f>CONCATENATE("3071-0000-6643","")</f>
        <v>3071-0000-6643</v>
      </c>
      <c r="B8134" s="4" t="s">
        <v>8016</v>
      </c>
      <c r="C8134" s="5">
        <v>41489</v>
      </c>
      <c r="D8134" s="5">
        <v>41549</v>
      </c>
      <c r="E8134" s="4" t="s">
        <v>5185</v>
      </c>
      <c r="F8134" s="4" t="s">
        <v>5185</v>
      </c>
    </row>
    <row r="8135" spans="1:6" x14ac:dyDescent="0.25">
      <c r="A8135" s="4" t="str">
        <f>CONCATENATE("3071-0000-7044","")</f>
        <v>3071-0000-7044</v>
      </c>
      <c r="B8135" s="4" t="s">
        <v>4815</v>
      </c>
      <c r="C8135" s="5">
        <v>41489</v>
      </c>
      <c r="D8135" s="5">
        <v>41549</v>
      </c>
      <c r="E8135" s="4" t="s">
        <v>1410</v>
      </c>
      <c r="F8135" s="4" t="s">
        <v>1410</v>
      </c>
    </row>
    <row r="8136" spans="1:6" x14ac:dyDescent="0.25">
      <c r="A8136" s="4" t="str">
        <f>CONCATENATE("3071-0000-8457","")</f>
        <v>3071-0000-8457</v>
      </c>
      <c r="B8136" s="4" t="s">
        <v>6070</v>
      </c>
      <c r="C8136" s="5">
        <v>41489</v>
      </c>
      <c r="D8136" s="5">
        <v>41549</v>
      </c>
      <c r="E8136" s="4" t="s">
        <v>5185</v>
      </c>
      <c r="F8136" s="4" t="s">
        <v>5945</v>
      </c>
    </row>
    <row r="8137" spans="1:6" x14ac:dyDescent="0.25">
      <c r="A8137" s="4" t="str">
        <f>CONCATENATE("3071-0000-7054","")</f>
        <v>3071-0000-7054</v>
      </c>
      <c r="B8137" s="4" t="s">
        <v>4819</v>
      </c>
      <c r="C8137" s="5">
        <v>41489</v>
      </c>
      <c r="D8137" s="5">
        <v>41549</v>
      </c>
      <c r="E8137" s="4" t="s">
        <v>1410</v>
      </c>
      <c r="F8137" s="4" t="s">
        <v>1410</v>
      </c>
    </row>
    <row r="8138" spans="1:6" x14ac:dyDescent="0.25">
      <c r="A8138" s="4" t="str">
        <f>CONCATENATE("3071-0000-7279","")</f>
        <v>3071-0000-7279</v>
      </c>
      <c r="B8138" s="4" t="s">
        <v>5131</v>
      </c>
      <c r="C8138" s="5">
        <v>41489</v>
      </c>
      <c r="D8138" s="5">
        <v>41549</v>
      </c>
      <c r="E8138" s="4" t="s">
        <v>1410</v>
      </c>
      <c r="F8138" s="4" t="s">
        <v>1410</v>
      </c>
    </row>
    <row r="8139" spans="1:6" x14ac:dyDescent="0.25">
      <c r="A8139" s="4" t="str">
        <f>CONCATENATE("3071-0000-4475","")</f>
        <v>3071-0000-4475</v>
      </c>
      <c r="B8139" s="4" t="s">
        <v>9365</v>
      </c>
      <c r="C8139" s="5">
        <v>41489</v>
      </c>
      <c r="D8139" s="5">
        <v>41549</v>
      </c>
      <c r="E8139" s="4" t="s">
        <v>1410</v>
      </c>
      <c r="F8139" s="4" t="s">
        <v>8696</v>
      </c>
    </row>
    <row r="8140" spans="1:6" x14ac:dyDescent="0.25">
      <c r="A8140" s="4" t="str">
        <f>CONCATENATE("3071-0000-2043","")</f>
        <v>3071-0000-2043</v>
      </c>
      <c r="B8140" s="4" t="s">
        <v>3345</v>
      </c>
      <c r="C8140" s="5">
        <v>41489</v>
      </c>
      <c r="D8140" s="5">
        <v>41549</v>
      </c>
      <c r="E8140" s="4" t="s">
        <v>2944</v>
      </c>
      <c r="F8140" s="4" t="s">
        <v>2945</v>
      </c>
    </row>
    <row r="8141" spans="1:6" x14ac:dyDescent="0.25">
      <c r="A8141" s="4" t="str">
        <f>CONCATENATE("3071-0000-0415","")</f>
        <v>3071-0000-0415</v>
      </c>
      <c r="B8141" s="4" t="s">
        <v>632</v>
      </c>
      <c r="C8141" s="5">
        <v>41489</v>
      </c>
      <c r="D8141" s="5">
        <v>41549</v>
      </c>
      <c r="E8141" s="4" t="s">
        <v>7</v>
      </c>
      <c r="F8141" s="4" t="s">
        <v>7</v>
      </c>
    </row>
    <row r="8142" spans="1:6" x14ac:dyDescent="0.25">
      <c r="A8142" s="4" t="str">
        <f>CONCATENATE("3071-0000-5989","")</f>
        <v>3071-0000-5989</v>
      </c>
      <c r="B8142" s="4" t="s">
        <v>7234</v>
      </c>
      <c r="C8142" s="5">
        <v>41489</v>
      </c>
      <c r="D8142" s="5">
        <v>41549</v>
      </c>
      <c r="E8142" s="4" t="s">
        <v>5185</v>
      </c>
      <c r="F8142" s="4" t="s">
        <v>5185</v>
      </c>
    </row>
    <row r="8143" spans="1:6" x14ac:dyDescent="0.25">
      <c r="A8143" s="4" t="str">
        <f>CONCATENATE("3071-0000-3562","")</f>
        <v>3071-0000-3562</v>
      </c>
      <c r="B8143" s="4" t="s">
        <v>1572</v>
      </c>
      <c r="C8143" s="5">
        <v>41489</v>
      </c>
      <c r="D8143" s="5">
        <v>41549</v>
      </c>
      <c r="E8143" s="4" t="s">
        <v>1410</v>
      </c>
      <c r="F8143" s="4" t="s">
        <v>1411</v>
      </c>
    </row>
    <row r="8144" spans="1:6" x14ac:dyDescent="0.25">
      <c r="A8144" s="4" t="str">
        <f>CONCATENATE("3071-0000-9562","")</f>
        <v>3071-0000-9562</v>
      </c>
      <c r="B8144" s="4" t="s">
        <v>8645</v>
      </c>
      <c r="C8144" s="5">
        <v>41489</v>
      </c>
      <c r="D8144" s="5">
        <v>41549</v>
      </c>
      <c r="E8144" s="4" t="s">
        <v>1410</v>
      </c>
      <c r="F8144" s="4" t="s">
        <v>4459</v>
      </c>
    </row>
    <row r="8145" spans="1:6" x14ac:dyDescent="0.25">
      <c r="A8145" s="4" t="str">
        <f>CONCATENATE("3071-0000-0246","")</f>
        <v>3071-0000-0246</v>
      </c>
      <c r="B8145" s="4" t="s">
        <v>539</v>
      </c>
      <c r="C8145" s="5">
        <v>41489</v>
      </c>
      <c r="D8145" s="5">
        <v>41549</v>
      </c>
      <c r="E8145" s="4" t="s">
        <v>7</v>
      </c>
      <c r="F8145" s="4" t="s">
        <v>7</v>
      </c>
    </row>
    <row r="8146" spans="1:6" x14ac:dyDescent="0.25">
      <c r="A8146" s="4" t="str">
        <f>CONCATENATE("3071-0000-2344","")</f>
        <v>3071-0000-2344</v>
      </c>
      <c r="B8146" s="4" t="s">
        <v>3342</v>
      </c>
      <c r="C8146" s="5">
        <v>41489</v>
      </c>
      <c r="D8146" s="5">
        <v>41549</v>
      </c>
      <c r="E8146" s="4" t="s">
        <v>2944</v>
      </c>
      <c r="F8146" s="4" t="s">
        <v>2945</v>
      </c>
    </row>
    <row r="8147" spans="1:6" x14ac:dyDescent="0.25">
      <c r="A8147" s="4" t="str">
        <f>CONCATENATE("3071-0000-2417","")</f>
        <v>3071-0000-2417</v>
      </c>
      <c r="B8147" s="4" t="s">
        <v>3000</v>
      </c>
      <c r="C8147" s="5">
        <v>41489</v>
      </c>
      <c r="D8147" s="5">
        <v>41549</v>
      </c>
      <c r="E8147" s="4" t="s">
        <v>2944</v>
      </c>
      <c r="F8147" s="4" t="s">
        <v>2945</v>
      </c>
    </row>
    <row r="8148" spans="1:6" x14ac:dyDescent="0.25">
      <c r="A8148" s="4" t="str">
        <f>CONCATENATE("3071-0000-2065","")</f>
        <v>3071-0000-2065</v>
      </c>
      <c r="B8148" s="4" t="s">
        <v>3439</v>
      </c>
      <c r="C8148" s="5">
        <v>41489</v>
      </c>
      <c r="D8148" s="5">
        <v>41549</v>
      </c>
      <c r="E8148" s="4" t="s">
        <v>2944</v>
      </c>
      <c r="F8148" s="4" t="s">
        <v>2945</v>
      </c>
    </row>
    <row r="8149" spans="1:6" x14ac:dyDescent="0.25">
      <c r="A8149" s="4" t="str">
        <f>CONCATENATE("3071-0000-8456","")</f>
        <v>3071-0000-8456</v>
      </c>
      <c r="B8149" s="4" t="s">
        <v>6071</v>
      </c>
      <c r="C8149" s="5">
        <v>41489</v>
      </c>
      <c r="D8149" s="5">
        <v>41549</v>
      </c>
      <c r="E8149" s="4" t="s">
        <v>5185</v>
      </c>
      <c r="F8149" s="4" t="s">
        <v>5945</v>
      </c>
    </row>
    <row r="8150" spans="1:6" x14ac:dyDescent="0.25">
      <c r="A8150" s="4" t="str">
        <f>CONCATENATE("3071-0000-1029","")</f>
        <v>3071-0000-1029</v>
      </c>
      <c r="B8150" s="4" t="s">
        <v>2237</v>
      </c>
      <c r="C8150" s="5">
        <v>41489</v>
      </c>
      <c r="D8150" s="5">
        <v>41549</v>
      </c>
      <c r="E8150" s="4" t="s">
        <v>1857</v>
      </c>
      <c r="F8150" s="4" t="s">
        <v>1857</v>
      </c>
    </row>
    <row r="8151" spans="1:6" x14ac:dyDescent="0.25">
      <c r="A8151" s="4" t="str">
        <f>CONCATENATE("3071-0000-4091","")</f>
        <v>3071-0000-4091</v>
      </c>
      <c r="B8151" s="4" t="s">
        <v>3881</v>
      </c>
      <c r="C8151" s="5">
        <v>41489</v>
      </c>
      <c r="D8151" s="5">
        <v>41549</v>
      </c>
      <c r="E8151" s="4" t="s">
        <v>7</v>
      </c>
      <c r="F8151" s="4" t="s">
        <v>3818</v>
      </c>
    </row>
    <row r="8152" spans="1:6" x14ac:dyDescent="0.25">
      <c r="A8152" s="4" t="str">
        <f>CONCATENATE("3071-0000-2545","")</f>
        <v>3071-0000-2545</v>
      </c>
      <c r="B8152" s="4" t="s">
        <v>3305</v>
      </c>
      <c r="C8152" s="5">
        <v>41489</v>
      </c>
      <c r="D8152" s="5">
        <v>41549</v>
      </c>
      <c r="E8152" s="4" t="s">
        <v>1857</v>
      </c>
      <c r="F8152" s="4" t="s">
        <v>3306</v>
      </c>
    </row>
    <row r="8153" spans="1:6" x14ac:dyDescent="0.25">
      <c r="A8153" s="4" t="str">
        <f>CONCATENATE("3071-0000-2223","")</f>
        <v>3071-0000-2223</v>
      </c>
      <c r="B8153" s="4" t="s">
        <v>3709</v>
      </c>
      <c r="C8153" s="5">
        <v>41489</v>
      </c>
      <c r="D8153" s="5">
        <v>41549</v>
      </c>
      <c r="E8153" s="4" t="s">
        <v>2944</v>
      </c>
      <c r="F8153" s="4" t="s">
        <v>2945</v>
      </c>
    </row>
    <row r="8154" spans="1:6" x14ac:dyDescent="0.25">
      <c r="A8154" s="4" t="str">
        <f>CONCATENATE("3071-0000-0955","")</f>
        <v>3071-0000-0955</v>
      </c>
      <c r="B8154" s="4" t="s">
        <v>2174</v>
      </c>
      <c r="C8154" s="5">
        <v>41489</v>
      </c>
      <c r="D8154" s="5">
        <v>41549</v>
      </c>
      <c r="E8154" s="4" t="s">
        <v>1857</v>
      </c>
      <c r="F8154" s="4" t="s">
        <v>1857</v>
      </c>
    </row>
    <row r="8155" spans="1:6" x14ac:dyDescent="0.25">
      <c r="A8155" s="4" t="str">
        <f>CONCATENATE("3071-0000-2488","")</f>
        <v>3071-0000-2488</v>
      </c>
      <c r="B8155" s="4" t="s">
        <v>3634</v>
      </c>
      <c r="C8155" s="5">
        <v>41489</v>
      </c>
      <c r="D8155" s="5">
        <v>41549</v>
      </c>
      <c r="E8155" s="4" t="s">
        <v>2944</v>
      </c>
      <c r="F8155" s="4" t="s">
        <v>3567</v>
      </c>
    </row>
    <row r="8156" spans="1:6" x14ac:dyDescent="0.25">
      <c r="A8156" s="4" t="str">
        <f>CONCATENATE("3071-0000-8476","")</f>
        <v>3071-0000-8476</v>
      </c>
      <c r="B8156" s="4" t="s">
        <v>6061</v>
      </c>
      <c r="C8156" s="5">
        <v>41489</v>
      </c>
      <c r="D8156" s="5">
        <v>41549</v>
      </c>
      <c r="E8156" s="4" t="s">
        <v>5185</v>
      </c>
      <c r="F8156" s="4" t="s">
        <v>5945</v>
      </c>
    </row>
    <row r="8157" spans="1:6" x14ac:dyDescent="0.25">
      <c r="A8157" s="4" t="str">
        <f>CONCATENATE("3071-0000-0344","")</f>
        <v>3071-0000-0344</v>
      </c>
      <c r="B8157" s="4" t="s">
        <v>201</v>
      </c>
      <c r="C8157" s="5">
        <v>41489</v>
      </c>
      <c r="D8157" s="5">
        <v>41549</v>
      </c>
      <c r="E8157" s="4" t="s">
        <v>7</v>
      </c>
      <c r="F8157" s="4" t="s">
        <v>7</v>
      </c>
    </row>
    <row r="8158" spans="1:6" x14ac:dyDescent="0.25">
      <c r="A8158" s="4" t="str">
        <f>CONCATENATE("3071-0000-1344","")</f>
        <v>3071-0000-1344</v>
      </c>
      <c r="B8158" s="4" t="s">
        <v>2480</v>
      </c>
      <c r="C8158" s="5">
        <v>41489</v>
      </c>
      <c r="D8158" s="5">
        <v>41549</v>
      </c>
      <c r="E8158" s="4" t="s">
        <v>1381</v>
      </c>
      <c r="F8158" s="4" t="s">
        <v>2303</v>
      </c>
    </row>
    <row r="8159" spans="1:6" x14ac:dyDescent="0.25">
      <c r="A8159" s="4" t="str">
        <f>CONCATENATE("3071-0000-1060","")</f>
        <v>3071-0000-1060</v>
      </c>
      <c r="B8159" s="4" t="s">
        <v>2295</v>
      </c>
      <c r="C8159" s="5">
        <v>41489</v>
      </c>
      <c r="D8159" s="5">
        <v>41549</v>
      </c>
      <c r="E8159" s="4" t="s">
        <v>1857</v>
      </c>
      <c r="F8159" s="4" t="s">
        <v>1857</v>
      </c>
    </row>
    <row r="8160" spans="1:6" x14ac:dyDescent="0.25">
      <c r="A8160" s="4" t="str">
        <f>CONCATENATE("3071-0000-7050","")</f>
        <v>3071-0000-7050</v>
      </c>
      <c r="B8160" s="4" t="s">
        <v>4833</v>
      </c>
      <c r="C8160" s="5">
        <v>41489</v>
      </c>
      <c r="D8160" s="5">
        <v>41549</v>
      </c>
      <c r="E8160" s="4" t="s">
        <v>1410</v>
      </c>
      <c r="F8160" s="4" t="s">
        <v>1410</v>
      </c>
    </row>
    <row r="8161" spans="1:6" x14ac:dyDescent="0.25">
      <c r="A8161" s="4" t="str">
        <f>CONCATENATE("3071-0000-2034","")</f>
        <v>3071-0000-2034</v>
      </c>
      <c r="B8161" s="4" t="s">
        <v>3358</v>
      </c>
      <c r="C8161" s="5">
        <v>41489</v>
      </c>
      <c r="D8161" s="5">
        <v>41549</v>
      </c>
      <c r="E8161" s="4" t="s">
        <v>1857</v>
      </c>
      <c r="F8161" s="4" t="s">
        <v>3306</v>
      </c>
    </row>
    <row r="8162" spans="1:6" x14ac:dyDescent="0.25">
      <c r="A8162" s="4" t="str">
        <f>CONCATENATE("3071-0000-2033","")</f>
        <v>3071-0000-2033</v>
      </c>
      <c r="B8162" s="4" t="s">
        <v>3359</v>
      </c>
      <c r="C8162" s="5">
        <v>41489</v>
      </c>
      <c r="D8162" s="5">
        <v>41549</v>
      </c>
      <c r="E8162" s="4" t="s">
        <v>2944</v>
      </c>
      <c r="F8162" s="4" t="s">
        <v>2945</v>
      </c>
    </row>
    <row r="8163" spans="1:6" x14ac:dyDescent="0.25">
      <c r="A8163" s="4" t="str">
        <f>CONCATENATE("3071-0000-2665","")</f>
        <v>3071-0000-2665</v>
      </c>
      <c r="B8163" s="4" t="s">
        <v>3380</v>
      </c>
      <c r="C8163" s="5">
        <v>41489</v>
      </c>
      <c r="D8163" s="5">
        <v>41549</v>
      </c>
      <c r="E8163" s="4" t="s">
        <v>1857</v>
      </c>
      <c r="F8163" s="4" t="s">
        <v>3306</v>
      </c>
    </row>
    <row r="8164" spans="1:6" x14ac:dyDescent="0.25">
      <c r="A8164" s="4" t="str">
        <f>CONCATENATE("3071-0000-0076","")</f>
        <v>3071-0000-0076</v>
      </c>
      <c r="B8164" s="4" t="s">
        <v>142</v>
      </c>
      <c r="C8164" s="5">
        <v>41489</v>
      </c>
      <c r="D8164" s="5">
        <v>41549</v>
      </c>
      <c r="E8164" s="4" t="s">
        <v>7</v>
      </c>
      <c r="F8164" s="4" t="s">
        <v>7</v>
      </c>
    </row>
    <row r="8165" spans="1:6" x14ac:dyDescent="0.25">
      <c r="A8165" s="4" t="str">
        <f>CONCATENATE("3071-0000-4563","")</f>
        <v>3071-0000-4563</v>
      </c>
      <c r="B8165" s="4" t="s">
        <v>9091</v>
      </c>
      <c r="C8165" s="5">
        <v>41489</v>
      </c>
      <c r="D8165" s="5">
        <v>41549</v>
      </c>
      <c r="E8165" s="4" t="s">
        <v>1410</v>
      </c>
      <c r="F8165" s="4" t="s">
        <v>8696</v>
      </c>
    </row>
    <row r="8166" spans="1:6" x14ac:dyDescent="0.25">
      <c r="A8166" s="4" t="str">
        <f>CONCATENATE("3071-0000-4496","")</f>
        <v>3071-0000-4496</v>
      </c>
      <c r="B8166" s="4" t="s">
        <v>9491</v>
      </c>
      <c r="C8166" s="5">
        <v>41489</v>
      </c>
      <c r="D8166" s="5">
        <v>41549</v>
      </c>
      <c r="E8166" s="4" t="s">
        <v>1410</v>
      </c>
      <c r="F8166" s="4" t="s">
        <v>8696</v>
      </c>
    </row>
    <row r="8167" spans="1:6" x14ac:dyDescent="0.25">
      <c r="A8167" s="4" t="str">
        <f>CONCATENATE("3071-0000-4871","")</f>
        <v>3071-0000-4871</v>
      </c>
      <c r="B8167" s="4" t="s">
        <v>9565</v>
      </c>
      <c r="C8167" s="5">
        <v>41489</v>
      </c>
      <c r="D8167" s="5">
        <v>41549</v>
      </c>
      <c r="E8167" s="4" t="s">
        <v>7069</v>
      </c>
      <c r="F8167" s="4" t="s">
        <v>9485</v>
      </c>
    </row>
    <row r="8168" spans="1:6" x14ac:dyDescent="0.25">
      <c r="A8168" s="4" t="str">
        <f>CONCATENATE("3071-0000-0790","")</f>
        <v>3071-0000-0790</v>
      </c>
      <c r="B8168" s="4" t="s">
        <v>159</v>
      </c>
      <c r="C8168" s="5">
        <v>41489</v>
      </c>
      <c r="D8168" s="5">
        <v>41549</v>
      </c>
      <c r="E8168" s="4" t="s">
        <v>7</v>
      </c>
      <c r="F8168" s="4" t="s">
        <v>7</v>
      </c>
    </row>
    <row r="8169" spans="1:6" x14ac:dyDescent="0.25">
      <c r="A8169" s="4" t="str">
        <f>CONCATENATE("3071-0000-6957","")</f>
        <v>3071-0000-6957</v>
      </c>
      <c r="B8169" s="4" t="s">
        <v>4531</v>
      </c>
      <c r="C8169" s="5">
        <v>41489</v>
      </c>
      <c r="D8169" s="5">
        <v>41549</v>
      </c>
      <c r="E8169" s="4" t="s">
        <v>1410</v>
      </c>
      <c r="F8169" s="4" t="s">
        <v>1410</v>
      </c>
    </row>
    <row r="8170" spans="1:6" x14ac:dyDescent="0.25">
      <c r="A8170" s="4" t="str">
        <f>CONCATENATE("3071-0000-1623","")</f>
        <v>3071-0000-1623</v>
      </c>
      <c r="B8170" s="4" t="s">
        <v>2697</v>
      </c>
      <c r="C8170" s="5">
        <v>41489</v>
      </c>
      <c r="D8170" s="5">
        <v>41549</v>
      </c>
      <c r="E8170" s="4" t="s">
        <v>1381</v>
      </c>
      <c r="F8170" s="4" t="s">
        <v>2303</v>
      </c>
    </row>
    <row r="8171" spans="1:6" x14ac:dyDescent="0.25">
      <c r="A8171" s="4" t="str">
        <f>CONCATENATE("3071-0000-2279","")</f>
        <v>3071-0000-2279</v>
      </c>
      <c r="B8171" s="4" t="s">
        <v>3805</v>
      </c>
      <c r="C8171" s="5">
        <v>41489</v>
      </c>
      <c r="D8171" s="5">
        <v>41549</v>
      </c>
      <c r="E8171" s="4" t="s">
        <v>2944</v>
      </c>
      <c r="F8171" s="4" t="s">
        <v>2945</v>
      </c>
    </row>
    <row r="8172" spans="1:6" x14ac:dyDescent="0.25">
      <c r="A8172" s="4" t="str">
        <f>CONCATENATE("3071-0000-2532","")</f>
        <v>3071-0000-2532</v>
      </c>
      <c r="B8172" s="4" t="s">
        <v>3801</v>
      </c>
      <c r="C8172" s="5">
        <v>41489</v>
      </c>
      <c r="D8172" s="5">
        <v>41549</v>
      </c>
      <c r="E8172" s="4" t="s">
        <v>2944</v>
      </c>
      <c r="F8172" s="4" t="s">
        <v>3115</v>
      </c>
    </row>
    <row r="8173" spans="1:6" x14ac:dyDescent="0.25">
      <c r="A8173" s="4" t="str">
        <f>CONCATENATE("3071-0000-2274","")</f>
        <v>3071-0000-2274</v>
      </c>
      <c r="B8173" s="4" t="s">
        <v>3795</v>
      </c>
      <c r="C8173" s="5">
        <v>41489</v>
      </c>
      <c r="D8173" s="5">
        <v>41549</v>
      </c>
      <c r="E8173" s="4" t="s">
        <v>2944</v>
      </c>
      <c r="F8173" s="4" t="s">
        <v>2945</v>
      </c>
    </row>
    <row r="8174" spans="1:6" x14ac:dyDescent="0.25">
      <c r="A8174" s="4" t="str">
        <f>CONCATENATE("3071-0000-2316","")</f>
        <v>3071-0000-2316</v>
      </c>
      <c r="B8174" s="4" t="s">
        <v>3793</v>
      </c>
      <c r="C8174" s="5">
        <v>41489</v>
      </c>
      <c r="D8174" s="5">
        <v>41549</v>
      </c>
      <c r="E8174" s="4" t="s">
        <v>2944</v>
      </c>
      <c r="F8174" s="4" t="s">
        <v>2945</v>
      </c>
    </row>
    <row r="8175" spans="1:6" x14ac:dyDescent="0.25">
      <c r="A8175" s="4" t="str">
        <f>CONCATENATE("3071-0000-3001","")</f>
        <v>3071-0000-3001</v>
      </c>
      <c r="B8175" s="4" t="s">
        <v>948</v>
      </c>
      <c r="C8175" s="5">
        <v>41489</v>
      </c>
      <c r="D8175" s="5">
        <v>41549</v>
      </c>
      <c r="E8175" s="4" t="s">
        <v>7</v>
      </c>
      <c r="F8175" s="4" t="s">
        <v>808</v>
      </c>
    </row>
    <row r="8176" spans="1:6" x14ac:dyDescent="0.25">
      <c r="A8176" s="4" t="str">
        <f>CONCATENATE("3071-0000-6974","")</f>
        <v>3071-0000-6974</v>
      </c>
      <c r="B8176" s="4" t="s">
        <v>4468</v>
      </c>
      <c r="C8176" s="5">
        <v>41489</v>
      </c>
      <c r="D8176" s="5">
        <v>41549</v>
      </c>
      <c r="E8176" s="4" t="s">
        <v>1410</v>
      </c>
      <c r="F8176" s="4" t="s">
        <v>1410</v>
      </c>
    </row>
    <row r="8177" spans="1:6" x14ac:dyDescent="0.25">
      <c r="A8177" s="4" t="str">
        <f>CONCATENATE("3071-0000-5529","")</f>
        <v>3071-0000-5529</v>
      </c>
      <c r="B8177" s="4" t="s">
        <v>7346</v>
      </c>
      <c r="C8177" s="5">
        <v>41489</v>
      </c>
      <c r="D8177" s="5">
        <v>41549</v>
      </c>
      <c r="E8177" s="4" t="s">
        <v>5185</v>
      </c>
      <c r="F8177" s="4" t="s">
        <v>5185</v>
      </c>
    </row>
    <row r="8178" spans="1:6" x14ac:dyDescent="0.25">
      <c r="A8178" s="4" t="str">
        <f>CONCATENATE("3071-0000-5849","")</f>
        <v>3071-0000-5849</v>
      </c>
      <c r="B8178" s="4" t="s">
        <v>7350</v>
      </c>
      <c r="C8178" s="5">
        <v>41489</v>
      </c>
      <c r="D8178" s="5">
        <v>41549</v>
      </c>
      <c r="E8178" s="4" t="s">
        <v>5185</v>
      </c>
      <c r="F8178" s="4" t="s">
        <v>5185</v>
      </c>
    </row>
    <row r="8179" spans="1:6" x14ac:dyDescent="0.25">
      <c r="A8179" s="4" t="str">
        <f>CONCATENATE("3071-0000-5862","")</f>
        <v>3071-0000-5862</v>
      </c>
      <c r="B8179" s="4" t="s">
        <v>7379</v>
      </c>
      <c r="C8179" s="5">
        <v>41489</v>
      </c>
      <c r="D8179" s="5">
        <v>41549</v>
      </c>
      <c r="E8179" s="4" t="s">
        <v>5185</v>
      </c>
      <c r="F8179" s="4" t="s">
        <v>5185</v>
      </c>
    </row>
    <row r="8180" spans="1:6" x14ac:dyDescent="0.25">
      <c r="A8180" s="4" t="str">
        <f>CONCATENATE("3071-0000-0723","")</f>
        <v>3071-0000-0723</v>
      </c>
      <c r="B8180" s="4" t="s">
        <v>493</v>
      </c>
      <c r="C8180" s="5">
        <v>41489</v>
      </c>
      <c r="D8180" s="5">
        <v>41549</v>
      </c>
      <c r="E8180" s="4" t="s">
        <v>7</v>
      </c>
      <c r="F8180" s="4" t="s">
        <v>7</v>
      </c>
    </row>
    <row r="8181" spans="1:6" x14ac:dyDescent="0.25">
      <c r="A8181" s="4" t="str">
        <f>CONCATENATE("3071-0000-1983","")</f>
        <v>3071-0000-1983</v>
      </c>
      <c r="B8181" s="4" t="s">
        <v>3122</v>
      </c>
      <c r="C8181" s="5">
        <v>41489</v>
      </c>
      <c r="D8181" s="5">
        <v>41549</v>
      </c>
      <c r="E8181" s="4" t="s">
        <v>2944</v>
      </c>
      <c r="F8181" s="4" t="s">
        <v>2945</v>
      </c>
    </row>
    <row r="8182" spans="1:6" x14ac:dyDescent="0.25">
      <c r="A8182" s="4" t="str">
        <f>CONCATENATE("3071-0000-2411","")</f>
        <v>3071-0000-2411</v>
      </c>
      <c r="B8182" s="4" t="s">
        <v>3311</v>
      </c>
      <c r="C8182" s="5">
        <v>41489</v>
      </c>
      <c r="D8182" s="5">
        <v>41549</v>
      </c>
      <c r="E8182" s="4" t="s">
        <v>1857</v>
      </c>
      <c r="F8182" s="4" t="s">
        <v>3306</v>
      </c>
    </row>
    <row r="8183" spans="1:6" x14ac:dyDescent="0.25">
      <c r="A8183" s="4" t="str">
        <f>CONCATENATE("3071-0000-1891","")</f>
        <v>3071-0000-1891</v>
      </c>
      <c r="B8183" s="4" t="s">
        <v>2943</v>
      </c>
      <c r="C8183" s="5">
        <v>41489</v>
      </c>
      <c r="D8183" s="5">
        <v>41549</v>
      </c>
      <c r="E8183" s="4" t="s">
        <v>2944</v>
      </c>
      <c r="F8183" s="4" t="s">
        <v>2945</v>
      </c>
    </row>
    <row r="8184" spans="1:6" x14ac:dyDescent="0.25">
      <c r="A8184" s="4" t="str">
        <f>CONCATENATE("3071-0000-2039","")</f>
        <v>3071-0000-2039</v>
      </c>
      <c r="B8184" s="4" t="s">
        <v>3322</v>
      </c>
      <c r="C8184" s="5">
        <v>41489</v>
      </c>
      <c r="D8184" s="5">
        <v>41549</v>
      </c>
      <c r="E8184" s="4" t="s">
        <v>2944</v>
      </c>
      <c r="F8184" s="4" t="s">
        <v>2945</v>
      </c>
    </row>
    <row r="8185" spans="1:6" x14ac:dyDescent="0.25">
      <c r="A8185" s="4" t="str">
        <f>CONCATENATE("3071-0000-1492","")</f>
        <v>3071-0000-1492</v>
      </c>
      <c r="B8185" s="4" t="s">
        <v>2831</v>
      </c>
      <c r="C8185" s="5">
        <v>41489</v>
      </c>
      <c r="D8185" s="5">
        <v>41549</v>
      </c>
      <c r="E8185" s="4" t="s">
        <v>1381</v>
      </c>
      <c r="F8185" s="4" t="s">
        <v>2303</v>
      </c>
    </row>
    <row r="8186" spans="1:6" x14ac:dyDescent="0.25">
      <c r="A8186" s="4" t="str">
        <f>CONCATENATE("3071-0000-0538","")</f>
        <v>3071-0000-0538</v>
      </c>
      <c r="B8186" s="4" t="s">
        <v>209</v>
      </c>
      <c r="C8186" s="5">
        <v>41489</v>
      </c>
      <c r="D8186" s="5">
        <v>41549</v>
      </c>
      <c r="E8186" s="4" t="s">
        <v>7</v>
      </c>
      <c r="F8186" s="4" t="s">
        <v>7</v>
      </c>
    </row>
    <row r="8187" spans="1:6" x14ac:dyDescent="0.25">
      <c r="A8187" s="4" t="str">
        <f>CONCATENATE("3071-0000-3810","")</f>
        <v>3071-0000-3810</v>
      </c>
      <c r="B8187" s="4" t="s">
        <v>3842</v>
      </c>
      <c r="C8187" s="5">
        <v>41489</v>
      </c>
      <c r="D8187" s="5">
        <v>41549</v>
      </c>
      <c r="E8187" s="4" t="s">
        <v>7</v>
      </c>
      <c r="F8187" s="4" t="s">
        <v>3818</v>
      </c>
    </row>
    <row r="8188" spans="1:6" x14ac:dyDescent="0.25">
      <c r="A8188" s="4" t="str">
        <f>CONCATENATE("3071-0000-0323","")</f>
        <v>3071-0000-0323</v>
      </c>
      <c r="B8188" s="4" t="s">
        <v>515</v>
      </c>
      <c r="C8188" s="5">
        <v>41489</v>
      </c>
      <c r="D8188" s="5">
        <v>41549</v>
      </c>
      <c r="E8188" s="4" t="s">
        <v>7</v>
      </c>
      <c r="F8188" s="4" t="s">
        <v>7</v>
      </c>
    </row>
    <row r="8189" spans="1:6" x14ac:dyDescent="0.25">
      <c r="A8189" s="4" t="str">
        <f>CONCATENATE("3071-0000-5223","")</f>
        <v>3071-0000-5223</v>
      </c>
      <c r="B8189" s="4" t="s">
        <v>6664</v>
      </c>
      <c r="C8189" s="5">
        <v>41489</v>
      </c>
      <c r="D8189" s="5">
        <v>41549</v>
      </c>
      <c r="E8189" s="4" t="s">
        <v>1410</v>
      </c>
      <c r="F8189" s="4" t="s">
        <v>6635</v>
      </c>
    </row>
    <row r="8190" spans="1:6" x14ac:dyDescent="0.25">
      <c r="A8190" s="4" t="str">
        <f>CONCATENATE("3071-0000-5511","")</f>
        <v>3071-0000-5511</v>
      </c>
      <c r="B8190" s="4" t="s">
        <v>6810</v>
      </c>
      <c r="C8190" s="5">
        <v>41489</v>
      </c>
      <c r="D8190" s="5">
        <v>41549</v>
      </c>
      <c r="E8190" s="4" t="s">
        <v>1410</v>
      </c>
      <c r="F8190" s="4" t="s">
        <v>6635</v>
      </c>
    </row>
    <row r="8191" spans="1:6" x14ac:dyDescent="0.25">
      <c r="A8191" s="4" t="str">
        <f>CONCATENATE("3071-0000-7249","")</f>
        <v>3071-0000-7249</v>
      </c>
      <c r="B8191" s="4" t="s">
        <v>4939</v>
      </c>
      <c r="C8191" s="5">
        <v>41489</v>
      </c>
      <c r="D8191" s="5">
        <v>41549</v>
      </c>
      <c r="E8191" s="4" t="s">
        <v>1410</v>
      </c>
      <c r="F8191" s="4" t="s">
        <v>1410</v>
      </c>
    </row>
    <row r="8192" spans="1:6" x14ac:dyDescent="0.25">
      <c r="A8192" s="4" t="str">
        <f>CONCATENATE("3071-0000-6257","")</f>
        <v>3071-0000-6257</v>
      </c>
      <c r="B8192" s="4" t="s">
        <v>7247</v>
      </c>
      <c r="C8192" s="5">
        <v>41489</v>
      </c>
      <c r="D8192" s="5">
        <v>41549</v>
      </c>
      <c r="E8192" s="4" t="s">
        <v>7069</v>
      </c>
      <c r="F8192" s="4" t="s">
        <v>7245</v>
      </c>
    </row>
    <row r="8193" spans="1:6" x14ac:dyDescent="0.25">
      <c r="A8193" s="4" t="str">
        <f>CONCATENATE("3071-0000-3659","")</f>
        <v>3071-0000-3659</v>
      </c>
      <c r="B8193" s="4" t="s">
        <v>1577</v>
      </c>
      <c r="C8193" s="5">
        <v>41489</v>
      </c>
      <c r="D8193" s="5">
        <v>41549</v>
      </c>
      <c r="E8193" s="4" t="s">
        <v>1410</v>
      </c>
      <c r="F8193" s="4" t="s">
        <v>1411</v>
      </c>
    </row>
    <row r="8194" spans="1:6" x14ac:dyDescent="0.25">
      <c r="A8194" s="4" t="str">
        <f>CONCATENATE("3071-0000-3646","")</f>
        <v>3071-0000-3646</v>
      </c>
      <c r="B8194" s="4" t="s">
        <v>1588</v>
      </c>
      <c r="C8194" s="5">
        <v>41489</v>
      </c>
      <c r="D8194" s="5">
        <v>41549</v>
      </c>
      <c r="E8194" s="4" t="s">
        <v>1410</v>
      </c>
      <c r="F8194" s="4" t="s">
        <v>1411</v>
      </c>
    </row>
    <row r="8195" spans="1:6" x14ac:dyDescent="0.25">
      <c r="A8195" s="4" t="str">
        <f>CONCATENATE("3071-0000-3707","")</f>
        <v>3071-0000-3707</v>
      </c>
      <c r="B8195" s="4" t="s">
        <v>1444</v>
      </c>
      <c r="C8195" s="5">
        <v>41489</v>
      </c>
      <c r="D8195" s="5">
        <v>41549</v>
      </c>
      <c r="E8195" s="4" t="s">
        <v>1410</v>
      </c>
      <c r="F8195" s="4" t="s">
        <v>1411</v>
      </c>
    </row>
    <row r="8196" spans="1:6" x14ac:dyDescent="0.25">
      <c r="A8196" s="4" t="str">
        <f>CONCATENATE("3071-0000-3465","")</f>
        <v>3071-0000-3465</v>
      </c>
      <c r="B8196" s="4" t="s">
        <v>1753</v>
      </c>
      <c r="C8196" s="5">
        <v>41489</v>
      </c>
      <c r="D8196" s="5">
        <v>41549</v>
      </c>
      <c r="E8196" s="4" t="s">
        <v>1410</v>
      </c>
      <c r="F8196" s="4" t="s">
        <v>1411</v>
      </c>
    </row>
    <row r="8197" spans="1:6" x14ac:dyDescent="0.25">
      <c r="A8197" s="4" t="str">
        <f>CONCATENATE("3071-0000-3450","")</f>
        <v>3071-0000-3450</v>
      </c>
      <c r="B8197" s="4" t="s">
        <v>1737</v>
      </c>
      <c r="C8197" s="5">
        <v>41489</v>
      </c>
      <c r="D8197" s="5">
        <v>41549</v>
      </c>
      <c r="E8197" s="4" t="s">
        <v>1410</v>
      </c>
      <c r="F8197" s="4" t="s">
        <v>1411</v>
      </c>
    </row>
    <row r="8198" spans="1:6" x14ac:dyDescent="0.25">
      <c r="A8198" s="4" t="str">
        <f>CONCATENATE("3071-0000-4483","")</f>
        <v>3071-0000-4483</v>
      </c>
      <c r="B8198" s="4" t="s">
        <v>9377</v>
      </c>
      <c r="C8198" s="5">
        <v>41489</v>
      </c>
      <c r="D8198" s="5">
        <v>41549</v>
      </c>
      <c r="E8198" s="4" t="s">
        <v>1410</v>
      </c>
      <c r="F8198" s="4" t="s">
        <v>8696</v>
      </c>
    </row>
    <row r="8199" spans="1:6" x14ac:dyDescent="0.25">
      <c r="A8199" s="4" t="str">
        <f>CONCATENATE("3071-0000-3768","")</f>
        <v>3071-0000-3768</v>
      </c>
      <c r="B8199" s="4" t="s">
        <v>1810</v>
      </c>
      <c r="C8199" s="5">
        <v>41489</v>
      </c>
      <c r="D8199" s="5">
        <v>41549</v>
      </c>
      <c r="E8199" s="4" t="s">
        <v>1410</v>
      </c>
      <c r="F8199" s="4" t="s">
        <v>1411</v>
      </c>
    </row>
    <row r="8200" spans="1:6" x14ac:dyDescent="0.25">
      <c r="A8200" s="4" t="str">
        <f>CONCATENATE("3071-0000-0649","")</f>
        <v>3071-0000-0649</v>
      </c>
      <c r="B8200" s="4" t="s">
        <v>792</v>
      </c>
      <c r="C8200" s="5">
        <v>41489</v>
      </c>
      <c r="D8200" s="5">
        <v>41549</v>
      </c>
      <c r="E8200" s="4" t="s">
        <v>7</v>
      </c>
      <c r="F8200" s="4" t="s">
        <v>7</v>
      </c>
    </row>
    <row r="8201" spans="1:6" x14ac:dyDescent="0.25">
      <c r="A8201" s="4" t="str">
        <f>CONCATENATE("3071-0000-5204","")</f>
        <v>3071-0000-5204</v>
      </c>
      <c r="B8201" s="4" t="s">
        <v>8744</v>
      </c>
      <c r="C8201" s="5">
        <v>41489</v>
      </c>
      <c r="D8201" s="5">
        <v>41549</v>
      </c>
      <c r="E8201" s="4" t="s">
        <v>1410</v>
      </c>
      <c r="F8201" s="4" t="s">
        <v>8696</v>
      </c>
    </row>
    <row r="8202" spans="1:6" x14ac:dyDescent="0.25">
      <c r="A8202" s="4" t="str">
        <f>CONCATENATE("3071-0000-7475","")</f>
        <v>3071-0000-7475</v>
      </c>
      <c r="B8202" s="4" t="s">
        <v>4516</v>
      </c>
      <c r="C8202" s="5">
        <v>41489</v>
      </c>
      <c r="D8202" s="5">
        <v>41549</v>
      </c>
      <c r="E8202" s="4" t="s">
        <v>1410</v>
      </c>
      <c r="F8202" s="4" t="s">
        <v>1410</v>
      </c>
    </row>
    <row r="8203" spans="1:6" x14ac:dyDescent="0.25">
      <c r="A8203" s="4" t="str">
        <f>CONCATENATE("3071-0000-3455","")</f>
        <v>3071-0000-3455</v>
      </c>
      <c r="B8203" s="4" t="s">
        <v>1742</v>
      </c>
      <c r="C8203" s="5">
        <v>41489</v>
      </c>
      <c r="D8203" s="5">
        <v>41549</v>
      </c>
      <c r="E8203" s="4" t="s">
        <v>1410</v>
      </c>
      <c r="F8203" s="4" t="s">
        <v>1411</v>
      </c>
    </row>
    <row r="8204" spans="1:6" x14ac:dyDescent="0.25">
      <c r="A8204" s="4" t="str">
        <f>CONCATENATE("3071-0000-7627","")</f>
        <v>3071-0000-7627</v>
      </c>
      <c r="B8204" s="4" t="s">
        <v>5172</v>
      </c>
      <c r="C8204" s="5">
        <v>41489</v>
      </c>
      <c r="D8204" s="5">
        <v>41549</v>
      </c>
      <c r="E8204" s="4" t="s">
        <v>1410</v>
      </c>
      <c r="F8204" s="4" t="s">
        <v>4616</v>
      </c>
    </row>
    <row r="8205" spans="1:6" x14ac:dyDescent="0.25">
      <c r="A8205" s="4" t="str">
        <f>CONCATENATE("3071-0000-3396","")</f>
        <v>3071-0000-3396</v>
      </c>
      <c r="B8205" s="4" t="s">
        <v>1550</v>
      </c>
      <c r="C8205" s="5">
        <v>41489</v>
      </c>
      <c r="D8205" s="5">
        <v>41549</v>
      </c>
      <c r="E8205" s="4" t="s">
        <v>1410</v>
      </c>
      <c r="F8205" s="4" t="s">
        <v>1411</v>
      </c>
    </row>
    <row r="8206" spans="1:6" x14ac:dyDescent="0.25">
      <c r="A8206" s="4" t="str">
        <f>CONCATENATE("3071-0000-8340","")</f>
        <v>3071-0000-8340</v>
      </c>
      <c r="B8206" s="4" t="s">
        <v>6038</v>
      </c>
      <c r="C8206" s="5">
        <v>41489</v>
      </c>
      <c r="D8206" s="5">
        <v>41549</v>
      </c>
      <c r="E8206" s="4" t="s">
        <v>5185</v>
      </c>
      <c r="F8206" s="4" t="s">
        <v>5185</v>
      </c>
    </row>
    <row r="8207" spans="1:6" x14ac:dyDescent="0.25">
      <c r="A8207" s="4" t="str">
        <f>CONCATENATE("3071-0000-0719","")</f>
        <v>3071-0000-0719</v>
      </c>
      <c r="B8207" s="4" t="s">
        <v>612</v>
      </c>
      <c r="C8207" s="5">
        <v>41489</v>
      </c>
      <c r="D8207" s="5">
        <v>41549</v>
      </c>
      <c r="E8207" s="4" t="s">
        <v>7</v>
      </c>
      <c r="F8207" s="4" t="s">
        <v>7</v>
      </c>
    </row>
    <row r="8208" spans="1:6" x14ac:dyDescent="0.25">
      <c r="A8208" s="4" t="str">
        <f>CONCATENATE("3071-0000-2609","")</f>
        <v>3071-0000-2609</v>
      </c>
      <c r="B8208" s="4" t="s">
        <v>3684</v>
      </c>
      <c r="C8208" s="5">
        <v>41489</v>
      </c>
      <c r="D8208" s="5">
        <v>41549</v>
      </c>
      <c r="E8208" s="4" t="s">
        <v>2944</v>
      </c>
      <c r="F8208" s="4" t="s">
        <v>3164</v>
      </c>
    </row>
    <row r="8209" spans="1:6" x14ac:dyDescent="0.25">
      <c r="A8209" s="4" t="str">
        <f>CONCATENATE("3071-0000-6059","")</f>
        <v>3071-0000-6059</v>
      </c>
      <c r="B8209" s="4" t="s">
        <v>6952</v>
      </c>
      <c r="C8209" s="5">
        <v>41489</v>
      </c>
      <c r="D8209" s="5">
        <v>41549</v>
      </c>
      <c r="E8209" s="4" t="s">
        <v>1410</v>
      </c>
      <c r="F8209" s="4" t="s">
        <v>4616</v>
      </c>
    </row>
    <row r="8210" spans="1:6" x14ac:dyDescent="0.25">
      <c r="A8210" s="4" t="str">
        <f>CONCATENATE("3071-0000-5308","")</f>
        <v>3071-0000-5308</v>
      </c>
      <c r="B8210" s="4" t="s">
        <v>6799</v>
      </c>
      <c r="C8210" s="5">
        <v>41489</v>
      </c>
      <c r="D8210" s="5">
        <v>41549</v>
      </c>
      <c r="E8210" s="4" t="s">
        <v>5185</v>
      </c>
      <c r="F8210" s="4" t="s">
        <v>5185</v>
      </c>
    </row>
    <row r="8211" spans="1:6" x14ac:dyDescent="0.25">
      <c r="A8211" s="4" t="str">
        <f>CONCATENATE("3071-0000-7331","")</f>
        <v>3071-0000-7331</v>
      </c>
      <c r="B8211" s="4" t="s">
        <v>4912</v>
      </c>
      <c r="C8211" s="5">
        <v>41489</v>
      </c>
      <c r="D8211" s="5">
        <v>41549</v>
      </c>
      <c r="E8211" s="4" t="s">
        <v>1410</v>
      </c>
      <c r="F8211" s="4" t="s">
        <v>1410</v>
      </c>
    </row>
    <row r="8212" spans="1:6" x14ac:dyDescent="0.25">
      <c r="A8212" s="4" t="str">
        <f>CONCATENATE("3071-0000-7434","")</f>
        <v>3071-0000-7434</v>
      </c>
      <c r="B8212" s="4" t="s">
        <v>5135</v>
      </c>
      <c r="C8212" s="5">
        <v>41489</v>
      </c>
      <c r="D8212" s="5">
        <v>41549</v>
      </c>
      <c r="E8212" s="4" t="s">
        <v>1410</v>
      </c>
      <c r="F8212" s="4" t="s">
        <v>4616</v>
      </c>
    </row>
    <row r="8213" spans="1:6" x14ac:dyDescent="0.25">
      <c r="A8213" s="4" t="str">
        <f>CONCATENATE("3071-0000-7365","")</f>
        <v>3071-0000-7365</v>
      </c>
      <c r="B8213" s="4" t="s">
        <v>4915</v>
      </c>
      <c r="C8213" s="5">
        <v>41489</v>
      </c>
      <c r="D8213" s="5">
        <v>41549</v>
      </c>
      <c r="E8213" s="4" t="s">
        <v>1410</v>
      </c>
      <c r="F8213" s="4" t="s">
        <v>1410</v>
      </c>
    </row>
    <row r="8214" spans="1:6" x14ac:dyDescent="0.25">
      <c r="A8214" s="4" t="str">
        <f>CONCATENATE("3071-0000-7514","")</f>
        <v>3071-0000-7514</v>
      </c>
      <c r="B8214" s="4" t="s">
        <v>4916</v>
      </c>
      <c r="C8214" s="5">
        <v>41489</v>
      </c>
      <c r="D8214" s="5">
        <v>41549</v>
      </c>
      <c r="E8214" s="4" t="s">
        <v>1410</v>
      </c>
      <c r="F8214" s="4" t="s">
        <v>4616</v>
      </c>
    </row>
    <row r="8215" spans="1:6" x14ac:dyDescent="0.25">
      <c r="A8215" s="4" t="str">
        <f>CONCATENATE("3071-0000-7136","")</f>
        <v>3071-0000-7136</v>
      </c>
      <c r="B8215" s="4" t="s">
        <v>5029</v>
      </c>
      <c r="C8215" s="5">
        <v>41489</v>
      </c>
      <c r="D8215" s="5">
        <v>41549</v>
      </c>
      <c r="E8215" s="4" t="s">
        <v>1410</v>
      </c>
      <c r="F8215" s="4" t="s">
        <v>1410</v>
      </c>
    </row>
    <row r="8216" spans="1:6" x14ac:dyDescent="0.25">
      <c r="A8216" s="4" t="str">
        <f>CONCATENATE("3071-0000-7489","")</f>
        <v>3071-0000-7489</v>
      </c>
      <c r="B8216" s="4" t="s">
        <v>4902</v>
      </c>
      <c r="C8216" s="5">
        <v>41489</v>
      </c>
      <c r="D8216" s="5">
        <v>41549</v>
      </c>
      <c r="E8216" s="4" t="s">
        <v>1410</v>
      </c>
      <c r="F8216" s="4" t="s">
        <v>4616</v>
      </c>
    </row>
    <row r="8217" spans="1:6" x14ac:dyDescent="0.25">
      <c r="A8217" s="4" t="str">
        <f>CONCATENATE("3071-0000-4099","")</f>
        <v>3071-0000-4099</v>
      </c>
      <c r="B8217" s="4" t="s">
        <v>4032</v>
      </c>
      <c r="C8217" s="5">
        <v>41489</v>
      </c>
      <c r="D8217" s="5">
        <v>41549</v>
      </c>
      <c r="E8217" s="4" t="s">
        <v>1381</v>
      </c>
      <c r="F8217" s="4" t="s">
        <v>3994</v>
      </c>
    </row>
    <row r="8218" spans="1:6" x14ac:dyDescent="0.25">
      <c r="A8218" s="4" t="str">
        <f>CONCATENATE("3071-0000-7989","")</f>
        <v>3071-0000-7989</v>
      </c>
      <c r="B8218" s="4" t="s">
        <v>5874</v>
      </c>
      <c r="C8218" s="5">
        <v>41489</v>
      </c>
      <c r="D8218" s="5">
        <v>41549</v>
      </c>
      <c r="E8218" s="4" t="s">
        <v>5185</v>
      </c>
      <c r="F8218" s="4" t="s">
        <v>5185</v>
      </c>
    </row>
    <row r="8219" spans="1:6" x14ac:dyDescent="0.25">
      <c r="A8219" s="4" t="str">
        <f>CONCATENATE("3071-0000-5054","")</f>
        <v>3071-0000-5054</v>
      </c>
      <c r="B8219" s="4" t="s">
        <v>9469</v>
      </c>
      <c r="C8219" s="5">
        <v>41489</v>
      </c>
      <c r="D8219" s="5">
        <v>41549</v>
      </c>
      <c r="E8219" s="4" t="s">
        <v>7069</v>
      </c>
      <c r="F8219" s="4" t="s">
        <v>9210</v>
      </c>
    </row>
    <row r="8220" spans="1:6" x14ac:dyDescent="0.25">
      <c r="A8220" s="4" t="str">
        <f>CONCATENATE("3071-0000-4634","")</f>
        <v>3071-0000-4634</v>
      </c>
      <c r="B8220" s="4" t="s">
        <v>9390</v>
      </c>
      <c r="C8220" s="5">
        <v>41489</v>
      </c>
      <c r="D8220" s="5">
        <v>41549</v>
      </c>
      <c r="E8220" s="4" t="s">
        <v>7069</v>
      </c>
      <c r="F8220" s="4" t="s">
        <v>9210</v>
      </c>
    </row>
    <row r="8221" spans="1:6" x14ac:dyDescent="0.25">
      <c r="A8221" s="4" t="str">
        <f>CONCATENATE("3071-0000-4620","")</f>
        <v>3071-0000-4620</v>
      </c>
      <c r="B8221" s="4" t="s">
        <v>9471</v>
      </c>
      <c r="C8221" s="5">
        <v>41489</v>
      </c>
      <c r="D8221" s="5">
        <v>41549</v>
      </c>
      <c r="E8221" s="4" t="s">
        <v>1410</v>
      </c>
      <c r="F8221" s="4" t="s">
        <v>8696</v>
      </c>
    </row>
    <row r="8222" spans="1:6" x14ac:dyDescent="0.25">
      <c r="A8222" s="4" t="str">
        <f>CONCATENATE("3071-0000-6326","")</f>
        <v>3071-0000-6326</v>
      </c>
      <c r="B8222" s="4" t="s">
        <v>7134</v>
      </c>
      <c r="C8222" s="5">
        <v>41489</v>
      </c>
      <c r="D8222" s="5">
        <v>41549</v>
      </c>
      <c r="E8222" s="4" t="s">
        <v>7069</v>
      </c>
      <c r="F8222" s="4" t="s">
        <v>7120</v>
      </c>
    </row>
    <row r="8223" spans="1:6" x14ac:dyDescent="0.25">
      <c r="A8223" s="4" t="str">
        <f>CONCATENATE("3071-0000-5668","")</f>
        <v>3071-0000-5668</v>
      </c>
      <c r="B8223" s="4" t="s">
        <v>6976</v>
      </c>
      <c r="C8223" s="5">
        <v>41489</v>
      </c>
      <c r="D8223" s="5">
        <v>41549</v>
      </c>
      <c r="E8223" s="4" t="s">
        <v>5185</v>
      </c>
      <c r="F8223" s="4" t="s">
        <v>5185</v>
      </c>
    </row>
    <row r="8224" spans="1:6" x14ac:dyDescent="0.25">
      <c r="A8224" s="4" t="str">
        <f>CONCATENATE("3071-0000-5667","")</f>
        <v>3071-0000-5667</v>
      </c>
      <c r="B8224" s="4" t="s">
        <v>6974</v>
      </c>
      <c r="C8224" s="5">
        <v>41489</v>
      </c>
      <c r="D8224" s="5">
        <v>41549</v>
      </c>
      <c r="E8224" s="4" t="s">
        <v>5185</v>
      </c>
      <c r="F8224" s="4" t="s">
        <v>5185</v>
      </c>
    </row>
    <row r="8225" spans="1:6" x14ac:dyDescent="0.25">
      <c r="A8225" s="4" t="str">
        <f>CONCATENATE("3071-0000-6011","")</f>
        <v>3071-0000-6011</v>
      </c>
      <c r="B8225" s="4" t="s">
        <v>6975</v>
      </c>
      <c r="C8225" s="5">
        <v>41489</v>
      </c>
      <c r="D8225" s="5">
        <v>41549</v>
      </c>
      <c r="E8225" s="4" t="s">
        <v>5185</v>
      </c>
      <c r="F8225" s="4" t="s">
        <v>5185</v>
      </c>
    </row>
    <row r="8226" spans="1:6" x14ac:dyDescent="0.25">
      <c r="A8226" s="4" t="str">
        <f>CONCATENATE("3071-0000-6198","")</f>
        <v>3071-0000-6198</v>
      </c>
      <c r="B8226" s="4" t="s">
        <v>6971</v>
      </c>
      <c r="C8226" s="5">
        <v>41489</v>
      </c>
      <c r="D8226" s="5">
        <v>41549</v>
      </c>
      <c r="E8226" s="4" t="s">
        <v>1410</v>
      </c>
      <c r="F8226" s="4" t="s">
        <v>4616</v>
      </c>
    </row>
    <row r="8227" spans="1:6" x14ac:dyDescent="0.25">
      <c r="A8227" s="4" t="str">
        <f>CONCATENATE("3071-0000-5666","")</f>
        <v>3071-0000-5666</v>
      </c>
      <c r="B8227" s="4" t="s">
        <v>6973</v>
      </c>
      <c r="C8227" s="5">
        <v>41489</v>
      </c>
      <c r="D8227" s="5">
        <v>41549</v>
      </c>
      <c r="E8227" s="4" t="s">
        <v>5185</v>
      </c>
      <c r="F8227" s="4" t="s">
        <v>5185</v>
      </c>
    </row>
    <row r="8228" spans="1:6" x14ac:dyDescent="0.25">
      <c r="A8228" s="4" t="str">
        <f>CONCATENATE("3071-0000-7276","")</f>
        <v>3071-0000-7276</v>
      </c>
      <c r="B8228" s="4" t="s">
        <v>5120</v>
      </c>
      <c r="C8228" s="5">
        <v>41489</v>
      </c>
      <c r="D8228" s="5">
        <v>41549</v>
      </c>
      <c r="E8228" s="4" t="s">
        <v>1410</v>
      </c>
      <c r="F8228" s="4" t="s">
        <v>1410</v>
      </c>
    </row>
    <row r="8229" spans="1:6" x14ac:dyDescent="0.25">
      <c r="A8229" s="4" t="str">
        <f>CONCATENATE("3071-0000-7623","")</f>
        <v>3071-0000-7623</v>
      </c>
      <c r="B8229" s="4" t="s">
        <v>5145</v>
      </c>
      <c r="C8229" s="5">
        <v>41489</v>
      </c>
      <c r="D8229" s="5">
        <v>41549</v>
      </c>
      <c r="E8229" s="4" t="s">
        <v>1410</v>
      </c>
      <c r="F8229" s="4" t="s">
        <v>4616</v>
      </c>
    </row>
    <row r="8230" spans="1:6" x14ac:dyDescent="0.25">
      <c r="A8230" s="4" t="str">
        <f>CONCATENATE("3071-0000-5669","")</f>
        <v>3071-0000-5669</v>
      </c>
      <c r="B8230" s="4" t="s">
        <v>6967</v>
      </c>
      <c r="C8230" s="5">
        <v>41489</v>
      </c>
      <c r="D8230" s="5">
        <v>41549</v>
      </c>
      <c r="E8230" s="4" t="s">
        <v>5185</v>
      </c>
      <c r="F8230" s="4" t="s">
        <v>5185</v>
      </c>
    </row>
    <row r="8231" spans="1:6" x14ac:dyDescent="0.25">
      <c r="A8231" s="4" t="str">
        <f>CONCATENATE("3071-0000-2212","")</f>
        <v>3071-0000-2212</v>
      </c>
      <c r="B8231" s="4" t="s">
        <v>3191</v>
      </c>
      <c r="C8231" s="5">
        <v>41489</v>
      </c>
      <c r="D8231" s="5">
        <v>41549</v>
      </c>
      <c r="E8231" s="4" t="s">
        <v>2944</v>
      </c>
      <c r="F8231" s="4" t="s">
        <v>2945</v>
      </c>
    </row>
    <row r="8232" spans="1:6" x14ac:dyDescent="0.25">
      <c r="A8232" s="4" t="str">
        <f>CONCATENATE("3071-0000-1728","")</f>
        <v>3071-0000-1728</v>
      </c>
      <c r="B8232" s="4" t="s">
        <v>2613</v>
      </c>
      <c r="C8232" s="5">
        <v>41489</v>
      </c>
      <c r="D8232" s="5">
        <v>41549</v>
      </c>
      <c r="E8232" s="4" t="s">
        <v>1381</v>
      </c>
      <c r="F8232" s="4" t="s">
        <v>2303</v>
      </c>
    </row>
    <row r="8233" spans="1:6" x14ac:dyDescent="0.25">
      <c r="A8233" s="4" t="str">
        <f>CONCATENATE("3071-0000-1361","")</f>
        <v>3071-0000-1361</v>
      </c>
      <c r="B8233" s="4" t="s">
        <v>2511</v>
      </c>
      <c r="C8233" s="5">
        <v>41489</v>
      </c>
      <c r="D8233" s="5">
        <v>41549</v>
      </c>
      <c r="E8233" s="4" t="s">
        <v>1381</v>
      </c>
      <c r="F8233" s="4" t="s">
        <v>2303</v>
      </c>
    </row>
    <row r="8234" spans="1:6" x14ac:dyDescent="0.25">
      <c r="A8234" s="4" t="str">
        <f>CONCATENATE("3071-0000-1827","")</f>
        <v>3071-0000-1827</v>
      </c>
      <c r="B8234" s="4" t="s">
        <v>2531</v>
      </c>
      <c r="C8234" s="5">
        <v>41489</v>
      </c>
      <c r="D8234" s="5">
        <v>41549</v>
      </c>
      <c r="E8234" s="4" t="s">
        <v>1381</v>
      </c>
      <c r="F8234" s="4" t="s">
        <v>2303</v>
      </c>
    </row>
    <row r="8235" spans="1:6" x14ac:dyDescent="0.25">
      <c r="A8235" s="4" t="str">
        <f>CONCATENATE("3071-0000-1802","")</f>
        <v>3071-0000-1802</v>
      </c>
      <c r="B8235" s="4" t="s">
        <v>2536</v>
      </c>
      <c r="C8235" s="5">
        <v>41489</v>
      </c>
      <c r="D8235" s="5">
        <v>41549</v>
      </c>
      <c r="E8235" s="4" t="s">
        <v>1381</v>
      </c>
      <c r="F8235" s="4" t="s">
        <v>2303</v>
      </c>
    </row>
    <row r="8236" spans="1:6" x14ac:dyDescent="0.25">
      <c r="A8236" s="4" t="str">
        <f>CONCATENATE("3071-0000-1367","")</f>
        <v>3071-0000-1367</v>
      </c>
      <c r="B8236" s="4" t="s">
        <v>2527</v>
      </c>
      <c r="C8236" s="5">
        <v>41489</v>
      </c>
      <c r="D8236" s="5">
        <v>41549</v>
      </c>
      <c r="E8236" s="4" t="s">
        <v>1381</v>
      </c>
      <c r="F8236" s="4" t="s">
        <v>2303</v>
      </c>
    </row>
    <row r="8237" spans="1:6" x14ac:dyDescent="0.25">
      <c r="A8237" s="4" t="str">
        <f>CONCATENATE("3071-0000-2226","")</f>
        <v>3071-0000-2226</v>
      </c>
      <c r="B8237" s="4" t="s">
        <v>3054</v>
      </c>
      <c r="C8237" s="5">
        <v>41489</v>
      </c>
      <c r="D8237" s="5">
        <v>41549</v>
      </c>
      <c r="E8237" s="4" t="s">
        <v>2944</v>
      </c>
      <c r="F8237" s="4" t="s">
        <v>2945</v>
      </c>
    </row>
    <row r="8238" spans="1:6" x14ac:dyDescent="0.25">
      <c r="A8238" s="4" t="str">
        <f>CONCATENATE("3071-0000-1855","")</f>
        <v>3071-0000-1855</v>
      </c>
      <c r="B8238" s="4" t="s">
        <v>2521</v>
      </c>
      <c r="C8238" s="5">
        <v>41489</v>
      </c>
      <c r="D8238" s="5">
        <v>41549</v>
      </c>
      <c r="E8238" s="4" t="s">
        <v>1381</v>
      </c>
      <c r="F8238" s="4" t="s">
        <v>2303</v>
      </c>
    </row>
    <row r="8239" spans="1:6" x14ac:dyDescent="0.25">
      <c r="A8239" s="4" t="str">
        <f>CONCATENATE("3071-0000-6583","")</f>
        <v>3071-0000-6583</v>
      </c>
      <c r="B8239" s="4" t="s">
        <v>8205</v>
      </c>
      <c r="C8239" s="5">
        <v>41489</v>
      </c>
      <c r="D8239" s="5">
        <v>41549</v>
      </c>
      <c r="E8239" s="4" t="s">
        <v>5185</v>
      </c>
      <c r="F8239" s="4" t="s">
        <v>5185</v>
      </c>
    </row>
    <row r="8240" spans="1:6" x14ac:dyDescent="0.25">
      <c r="A8240" s="4" t="str">
        <f>CONCATENATE("3071-0000-2743","")</f>
        <v>3071-0000-2743</v>
      </c>
      <c r="B8240" s="4" t="s">
        <v>840</v>
      </c>
      <c r="C8240" s="5">
        <v>41489</v>
      </c>
      <c r="D8240" s="5">
        <v>41549</v>
      </c>
      <c r="E8240" s="4" t="s">
        <v>7</v>
      </c>
      <c r="F8240" s="4" t="s">
        <v>808</v>
      </c>
    </row>
    <row r="8241" spans="1:6" x14ac:dyDescent="0.25">
      <c r="A8241" s="4" t="str">
        <f>CONCATENATE("3071-0000-7185","")</f>
        <v>3071-0000-7185</v>
      </c>
      <c r="B8241" s="4" t="s">
        <v>4952</v>
      </c>
      <c r="C8241" s="5">
        <v>41489</v>
      </c>
      <c r="D8241" s="5">
        <v>41549</v>
      </c>
      <c r="E8241" s="4" t="s">
        <v>1410</v>
      </c>
      <c r="F8241" s="4" t="s">
        <v>1410</v>
      </c>
    </row>
    <row r="8242" spans="1:6" x14ac:dyDescent="0.25">
      <c r="A8242" s="4" t="str">
        <f>CONCATENATE("3071-0000-2675","")</f>
        <v>3071-0000-2675</v>
      </c>
      <c r="B8242" s="4" t="s">
        <v>3373</v>
      </c>
      <c r="C8242" s="5">
        <v>41489</v>
      </c>
      <c r="D8242" s="5">
        <v>41549</v>
      </c>
      <c r="E8242" s="4" t="s">
        <v>1857</v>
      </c>
      <c r="F8242" s="4" t="s">
        <v>3306</v>
      </c>
    </row>
    <row r="8243" spans="1:6" x14ac:dyDescent="0.25">
      <c r="A8243" s="4" t="str">
        <f>CONCATENATE("3071-0000-0211","")</f>
        <v>3071-0000-0211</v>
      </c>
      <c r="B8243" s="4" t="s">
        <v>452</v>
      </c>
      <c r="C8243" s="5">
        <v>41489</v>
      </c>
      <c r="D8243" s="5">
        <v>41549</v>
      </c>
      <c r="E8243" s="4" t="s">
        <v>7</v>
      </c>
      <c r="F8243" s="4" t="s">
        <v>7</v>
      </c>
    </row>
    <row r="8244" spans="1:6" x14ac:dyDescent="0.25">
      <c r="A8244" s="4" t="str">
        <f>CONCATENATE("3071-0000-2221","")</f>
        <v>3071-0000-2221</v>
      </c>
      <c r="B8244" s="4" t="s">
        <v>3711</v>
      </c>
      <c r="C8244" s="5">
        <v>41489</v>
      </c>
      <c r="D8244" s="5">
        <v>41549</v>
      </c>
      <c r="E8244" s="4" t="s">
        <v>2944</v>
      </c>
      <c r="F8244" s="4" t="s">
        <v>2945</v>
      </c>
    </row>
    <row r="8245" spans="1:6" x14ac:dyDescent="0.25">
      <c r="A8245" s="4" t="str">
        <f>CONCATENATE("3071-0000-2291","")</f>
        <v>3071-0000-2291</v>
      </c>
      <c r="B8245" s="4" t="s">
        <v>3740</v>
      </c>
      <c r="C8245" s="5">
        <v>41489</v>
      </c>
      <c r="D8245" s="5">
        <v>41549</v>
      </c>
      <c r="E8245" s="4" t="s">
        <v>2944</v>
      </c>
      <c r="F8245" s="4" t="s">
        <v>2945</v>
      </c>
    </row>
    <row r="8246" spans="1:6" x14ac:dyDescent="0.25">
      <c r="A8246" s="4" t="str">
        <f>CONCATENATE("3071-0000-2399","")</f>
        <v>3071-0000-2399</v>
      </c>
      <c r="B8246" s="4" t="s">
        <v>3710</v>
      </c>
      <c r="C8246" s="5">
        <v>41489</v>
      </c>
      <c r="D8246" s="5">
        <v>41549</v>
      </c>
      <c r="E8246" s="4" t="s">
        <v>2944</v>
      </c>
      <c r="F8246" s="4" t="s">
        <v>3593</v>
      </c>
    </row>
    <row r="8247" spans="1:6" x14ac:dyDescent="0.25">
      <c r="A8247" s="4" t="str">
        <f>CONCATENATE("3071-0000-2526","")</f>
        <v>3071-0000-2526</v>
      </c>
      <c r="B8247" s="4" t="s">
        <v>3729</v>
      </c>
      <c r="C8247" s="5">
        <v>41489</v>
      </c>
      <c r="D8247" s="5">
        <v>41549</v>
      </c>
      <c r="E8247" s="4" t="s">
        <v>2944</v>
      </c>
      <c r="F8247" s="4" t="s">
        <v>3593</v>
      </c>
    </row>
    <row r="8248" spans="1:6" x14ac:dyDescent="0.25">
      <c r="A8248" s="4" t="str">
        <f>CONCATENATE("3071-0000-2313","")</f>
        <v>3071-0000-2313</v>
      </c>
      <c r="B8248" s="4" t="s">
        <v>3718</v>
      </c>
      <c r="C8248" s="5">
        <v>41489</v>
      </c>
      <c r="D8248" s="5">
        <v>41549</v>
      </c>
      <c r="E8248" s="4" t="s">
        <v>2944</v>
      </c>
      <c r="F8248" s="4" t="s">
        <v>2945</v>
      </c>
    </row>
    <row r="8249" spans="1:6" x14ac:dyDescent="0.25">
      <c r="A8249" s="4" t="str">
        <f>CONCATENATE("3071-0000-3789","")</f>
        <v>3071-0000-3789</v>
      </c>
      <c r="B8249" s="4" t="s">
        <v>3819</v>
      </c>
      <c r="C8249" s="5">
        <v>41489</v>
      </c>
      <c r="D8249" s="5">
        <v>41549</v>
      </c>
      <c r="E8249" s="4" t="s">
        <v>7</v>
      </c>
      <c r="F8249" s="4" t="s">
        <v>3818</v>
      </c>
    </row>
    <row r="8250" spans="1:6" x14ac:dyDescent="0.25">
      <c r="A8250" s="4" t="str">
        <f>CONCATENATE("3071-0000-2168","")</f>
        <v>3071-0000-2168</v>
      </c>
      <c r="B8250" s="4" t="s">
        <v>3185</v>
      </c>
      <c r="C8250" s="5">
        <v>41489</v>
      </c>
      <c r="D8250" s="5">
        <v>41549</v>
      </c>
      <c r="E8250" s="4" t="s">
        <v>2944</v>
      </c>
      <c r="F8250" s="4" t="s">
        <v>2945</v>
      </c>
    </row>
    <row r="8251" spans="1:6" x14ac:dyDescent="0.25">
      <c r="A8251" s="4" t="str">
        <f>CONCATENATE("3071-0000-5496","")</f>
        <v>3071-0000-5496</v>
      </c>
      <c r="B8251" s="4" t="s">
        <v>6835</v>
      </c>
      <c r="C8251" s="5">
        <v>41489</v>
      </c>
      <c r="D8251" s="5">
        <v>41549</v>
      </c>
      <c r="E8251" s="4" t="s">
        <v>1410</v>
      </c>
      <c r="F8251" s="4" t="s">
        <v>6635</v>
      </c>
    </row>
    <row r="8252" spans="1:6" x14ac:dyDescent="0.25">
      <c r="A8252" s="4" t="str">
        <f>CONCATENATE("3071-0000-8595","")</f>
        <v>3071-0000-8595</v>
      </c>
      <c r="B8252" s="4" t="s">
        <v>5446</v>
      </c>
      <c r="C8252" s="5">
        <v>41489</v>
      </c>
      <c r="D8252" s="5">
        <v>41549</v>
      </c>
      <c r="E8252" s="4" t="s">
        <v>1410</v>
      </c>
      <c r="F8252" s="4" t="s">
        <v>4616</v>
      </c>
    </row>
    <row r="8253" spans="1:6" x14ac:dyDescent="0.25">
      <c r="A8253" s="4" t="str">
        <f>CONCATENATE("3071-0000-8156","")</f>
        <v>3071-0000-8156</v>
      </c>
      <c r="B8253" s="4" t="s">
        <v>5406</v>
      </c>
      <c r="C8253" s="5">
        <v>41489</v>
      </c>
      <c r="D8253" s="5">
        <v>41549</v>
      </c>
      <c r="E8253" s="4" t="s">
        <v>5185</v>
      </c>
      <c r="F8253" s="4" t="s">
        <v>5185</v>
      </c>
    </row>
    <row r="8254" spans="1:6" x14ac:dyDescent="0.25">
      <c r="A8254" s="4" t="str">
        <f>CONCATENATE("3071-0000-8374","")</f>
        <v>3071-0000-8374</v>
      </c>
      <c r="B8254" s="4" t="s">
        <v>5419</v>
      </c>
      <c r="C8254" s="5">
        <v>41489</v>
      </c>
      <c r="D8254" s="5">
        <v>41549</v>
      </c>
      <c r="E8254" s="4" t="s">
        <v>5185</v>
      </c>
      <c r="F8254" s="4" t="s">
        <v>5185</v>
      </c>
    </row>
    <row r="8255" spans="1:6" x14ac:dyDescent="0.25">
      <c r="A8255" s="4" t="str">
        <f>CONCATENATE("3071-0000-8590","")</f>
        <v>3071-0000-8590</v>
      </c>
      <c r="B8255" s="4" t="s">
        <v>5444</v>
      </c>
      <c r="C8255" s="5">
        <v>41489</v>
      </c>
      <c r="D8255" s="5">
        <v>41549</v>
      </c>
      <c r="E8255" s="4" t="s">
        <v>1410</v>
      </c>
      <c r="F8255" s="4" t="s">
        <v>4616</v>
      </c>
    </row>
    <row r="8256" spans="1:6" x14ac:dyDescent="0.25">
      <c r="A8256" s="4" t="str">
        <f>CONCATENATE("3071-0000-5299","")</f>
        <v>3071-0000-5299</v>
      </c>
      <c r="B8256" s="4" t="s">
        <v>6795</v>
      </c>
      <c r="C8256" s="5">
        <v>41489</v>
      </c>
      <c r="D8256" s="5">
        <v>41549</v>
      </c>
      <c r="E8256" s="4" t="s">
        <v>5185</v>
      </c>
      <c r="F8256" s="4" t="s">
        <v>5185</v>
      </c>
    </row>
    <row r="8257" spans="1:6" x14ac:dyDescent="0.25">
      <c r="A8257" s="4" t="str">
        <f>CONCATENATE("3071-0000-7182","")</f>
        <v>3071-0000-7182</v>
      </c>
      <c r="B8257" s="4" t="s">
        <v>4953</v>
      </c>
      <c r="C8257" s="5">
        <v>41489</v>
      </c>
      <c r="D8257" s="5">
        <v>41549</v>
      </c>
      <c r="E8257" s="4" t="s">
        <v>1410</v>
      </c>
      <c r="F8257" s="4" t="s">
        <v>1410</v>
      </c>
    </row>
    <row r="8258" spans="1:6" x14ac:dyDescent="0.25">
      <c r="A8258" s="4" t="str">
        <f>CONCATENATE("3071-0000-7443","")</f>
        <v>3071-0000-7443</v>
      </c>
      <c r="B8258" s="4" t="s">
        <v>4969</v>
      </c>
      <c r="C8258" s="5">
        <v>41489</v>
      </c>
      <c r="D8258" s="5">
        <v>41549</v>
      </c>
      <c r="E8258" s="4" t="s">
        <v>1410</v>
      </c>
      <c r="F8258" s="4" t="s">
        <v>4616</v>
      </c>
    </row>
    <row r="8259" spans="1:6" x14ac:dyDescent="0.25">
      <c r="A8259" s="4" t="str">
        <f>CONCATENATE("3071-0000-5514","")</f>
        <v>3071-0000-5514</v>
      </c>
      <c r="B8259" s="4" t="s">
        <v>6639</v>
      </c>
      <c r="C8259" s="5">
        <v>41489</v>
      </c>
      <c r="D8259" s="5">
        <v>41549</v>
      </c>
      <c r="E8259" s="4" t="s">
        <v>1410</v>
      </c>
      <c r="F8259" s="4" t="s">
        <v>6635</v>
      </c>
    </row>
    <row r="8260" spans="1:6" x14ac:dyDescent="0.25">
      <c r="A8260" s="4" t="str">
        <f>CONCATENATE("3071-0000-7195","")</f>
        <v>3071-0000-7195</v>
      </c>
      <c r="B8260" s="4" t="s">
        <v>5052</v>
      </c>
      <c r="C8260" s="5">
        <v>41489</v>
      </c>
      <c r="D8260" s="5">
        <v>41549</v>
      </c>
      <c r="E8260" s="4" t="s">
        <v>1410</v>
      </c>
      <c r="F8260" s="4" t="s">
        <v>1410</v>
      </c>
    </row>
    <row r="8261" spans="1:6" x14ac:dyDescent="0.25">
      <c r="A8261" s="4" t="str">
        <f>CONCATENATE("3071-0000-8263","")</f>
        <v>3071-0000-8263</v>
      </c>
      <c r="B8261" s="4" t="s">
        <v>5399</v>
      </c>
      <c r="C8261" s="5">
        <v>41489</v>
      </c>
      <c r="D8261" s="5">
        <v>41549</v>
      </c>
      <c r="E8261" s="4" t="s">
        <v>5185</v>
      </c>
      <c r="F8261" s="4" t="s">
        <v>5185</v>
      </c>
    </row>
    <row r="8262" spans="1:6" x14ac:dyDescent="0.25">
      <c r="A8262" s="4" t="str">
        <f>CONCATENATE("3071-0000-5265","")</f>
        <v>3071-0000-5265</v>
      </c>
      <c r="B8262" s="4" t="s">
        <v>6788</v>
      </c>
      <c r="C8262" s="5">
        <v>41489</v>
      </c>
      <c r="D8262" s="5">
        <v>41549</v>
      </c>
      <c r="E8262" s="4" t="s">
        <v>5185</v>
      </c>
      <c r="F8262" s="4" t="s">
        <v>5185</v>
      </c>
    </row>
    <row r="8263" spans="1:6" x14ac:dyDescent="0.25">
      <c r="A8263" s="4" t="str">
        <f>CONCATENATE("3071-0000-4206","")</f>
        <v>3071-0000-4206</v>
      </c>
      <c r="B8263" s="4" t="s">
        <v>3812</v>
      </c>
      <c r="C8263" s="5">
        <v>41489</v>
      </c>
      <c r="D8263" s="5">
        <v>41549</v>
      </c>
      <c r="E8263" s="4" t="s">
        <v>7</v>
      </c>
      <c r="F8263" s="4" t="s">
        <v>3813</v>
      </c>
    </row>
    <row r="8264" spans="1:6" x14ac:dyDescent="0.25">
      <c r="A8264" s="4" t="str">
        <f>CONCATENATE("3071-0000-2994","")</f>
        <v>3071-0000-2994</v>
      </c>
      <c r="B8264" s="4" t="s">
        <v>1122</v>
      </c>
      <c r="C8264" s="5">
        <v>41489</v>
      </c>
      <c r="D8264" s="5">
        <v>41549</v>
      </c>
      <c r="E8264" s="4" t="s">
        <v>7</v>
      </c>
      <c r="F8264" s="4" t="s">
        <v>808</v>
      </c>
    </row>
    <row r="8265" spans="1:6" x14ac:dyDescent="0.25">
      <c r="A8265" s="4" t="str">
        <f>CONCATENATE("3071-0000-7625","")</f>
        <v>3071-0000-7625</v>
      </c>
      <c r="B8265" s="4" t="s">
        <v>5148</v>
      </c>
      <c r="C8265" s="5">
        <v>41489</v>
      </c>
      <c r="D8265" s="5">
        <v>41549</v>
      </c>
      <c r="E8265" s="4" t="s">
        <v>1410</v>
      </c>
      <c r="F8265" s="4" t="s">
        <v>4616</v>
      </c>
    </row>
    <row r="8266" spans="1:6" x14ac:dyDescent="0.25">
      <c r="A8266" s="4" t="str">
        <f>CONCATENATE("3071-0000-0986","")</f>
        <v>3071-0000-0986</v>
      </c>
      <c r="B8266" s="4" t="s">
        <v>2193</v>
      </c>
      <c r="C8266" s="5">
        <v>41489</v>
      </c>
      <c r="D8266" s="5">
        <v>41549</v>
      </c>
      <c r="E8266" s="4" t="s">
        <v>1857</v>
      </c>
      <c r="F8266" s="4" t="s">
        <v>1857</v>
      </c>
    </row>
    <row r="8267" spans="1:6" x14ac:dyDescent="0.25">
      <c r="A8267" s="4" t="str">
        <f>CONCATENATE("3071-0000-3200","")</f>
        <v>3071-0000-3200</v>
      </c>
      <c r="B8267" s="4" t="s">
        <v>1166</v>
      </c>
      <c r="C8267" s="5">
        <v>41489</v>
      </c>
      <c r="D8267" s="5">
        <v>41549</v>
      </c>
      <c r="E8267" s="4" t="s">
        <v>7</v>
      </c>
      <c r="F8267" s="4" t="s">
        <v>808</v>
      </c>
    </row>
    <row r="8268" spans="1:6" x14ac:dyDescent="0.25">
      <c r="A8268" s="4" t="str">
        <f>CONCATENATE("3071-0000-2739","")</f>
        <v>3071-0000-2739</v>
      </c>
      <c r="B8268" s="4" t="s">
        <v>833</v>
      </c>
      <c r="C8268" s="5">
        <v>41489</v>
      </c>
      <c r="D8268" s="5">
        <v>41549</v>
      </c>
      <c r="E8268" s="4" t="s">
        <v>7</v>
      </c>
      <c r="F8268" s="4" t="s">
        <v>808</v>
      </c>
    </row>
    <row r="8269" spans="1:6" x14ac:dyDescent="0.25">
      <c r="A8269" s="4" t="str">
        <f>CONCATENATE("3071-0000-5935","")</f>
        <v>3071-0000-5935</v>
      </c>
      <c r="B8269" s="4" t="s">
        <v>7291</v>
      </c>
      <c r="C8269" s="5">
        <v>41489</v>
      </c>
      <c r="D8269" s="5">
        <v>41549</v>
      </c>
      <c r="E8269" s="4" t="s">
        <v>5185</v>
      </c>
      <c r="F8269" s="4" t="s">
        <v>5185</v>
      </c>
    </row>
    <row r="8270" spans="1:6" x14ac:dyDescent="0.25">
      <c r="A8270" s="4" t="str">
        <f>CONCATENATE("3071-0000-0098","")</f>
        <v>3071-0000-0098</v>
      </c>
      <c r="B8270" s="4" t="s">
        <v>167</v>
      </c>
      <c r="C8270" s="5">
        <v>41489</v>
      </c>
      <c r="D8270" s="5">
        <v>41549</v>
      </c>
      <c r="E8270" s="4" t="s">
        <v>7</v>
      </c>
      <c r="F8270" s="4" t="s">
        <v>7</v>
      </c>
    </row>
    <row r="8271" spans="1:6" x14ac:dyDescent="0.25">
      <c r="A8271" s="4" t="str">
        <f>CONCATENATE("3071-0000-0215","")</f>
        <v>3071-0000-0215</v>
      </c>
      <c r="B8271" s="4" t="s">
        <v>458</v>
      </c>
      <c r="C8271" s="5">
        <v>41489</v>
      </c>
      <c r="D8271" s="5">
        <v>41549</v>
      </c>
      <c r="E8271" s="4" t="s">
        <v>7</v>
      </c>
      <c r="F8271" s="4" t="s">
        <v>7</v>
      </c>
    </row>
    <row r="8272" spans="1:6" x14ac:dyDescent="0.25">
      <c r="A8272" s="4" t="str">
        <f>CONCATENATE("3071-0000-0227","")</f>
        <v>3071-0000-0227</v>
      </c>
      <c r="B8272" s="4" t="s">
        <v>477</v>
      </c>
      <c r="C8272" s="5">
        <v>41489</v>
      </c>
      <c r="D8272" s="5">
        <v>41549</v>
      </c>
      <c r="E8272" s="4" t="s">
        <v>7</v>
      </c>
      <c r="F8272" s="4" t="s">
        <v>7</v>
      </c>
    </row>
    <row r="8273" spans="1:6" x14ac:dyDescent="0.25">
      <c r="A8273" s="4" t="str">
        <f>CONCATENATE("3071-0000-0224","")</f>
        <v>3071-0000-0224</v>
      </c>
      <c r="B8273" s="4" t="s">
        <v>473</v>
      </c>
      <c r="C8273" s="5">
        <v>41489</v>
      </c>
      <c r="D8273" s="5">
        <v>41549</v>
      </c>
      <c r="E8273" s="4" t="s">
        <v>7</v>
      </c>
      <c r="F8273" s="4" t="s">
        <v>7</v>
      </c>
    </row>
    <row r="8274" spans="1:6" x14ac:dyDescent="0.25">
      <c r="A8274" s="4" t="str">
        <f>CONCATENATE("3071-0000-0212","")</f>
        <v>3071-0000-0212</v>
      </c>
      <c r="B8274" s="4" t="s">
        <v>455</v>
      </c>
      <c r="C8274" s="5">
        <v>41489</v>
      </c>
      <c r="D8274" s="5">
        <v>41549</v>
      </c>
      <c r="E8274" s="4" t="s">
        <v>7</v>
      </c>
      <c r="F8274" s="4" t="s">
        <v>7</v>
      </c>
    </row>
    <row r="8275" spans="1:6" x14ac:dyDescent="0.25">
      <c r="A8275" s="4" t="str">
        <f>CONCATENATE("3071-0000-0430","")</f>
        <v>3071-0000-0430</v>
      </c>
      <c r="B8275" s="4" t="s">
        <v>197</v>
      </c>
      <c r="C8275" s="5">
        <v>41489</v>
      </c>
      <c r="D8275" s="5">
        <v>41549</v>
      </c>
      <c r="E8275" s="4" t="s">
        <v>7</v>
      </c>
      <c r="F8275" s="4" t="s">
        <v>7</v>
      </c>
    </row>
    <row r="8276" spans="1:6" x14ac:dyDescent="0.25">
      <c r="A8276" s="4" t="str">
        <f>CONCATENATE("3071-0000-7626","")</f>
        <v>3071-0000-7626</v>
      </c>
      <c r="B8276" s="4" t="s">
        <v>5144</v>
      </c>
      <c r="C8276" s="5">
        <v>41489</v>
      </c>
      <c r="D8276" s="5">
        <v>41549</v>
      </c>
      <c r="E8276" s="4" t="s">
        <v>1410</v>
      </c>
      <c r="F8276" s="4" t="s">
        <v>4616</v>
      </c>
    </row>
    <row r="8277" spans="1:6" x14ac:dyDescent="0.25">
      <c r="A8277" s="4" t="str">
        <f>CONCATENATE("3071-0000-1971","")</f>
        <v>3071-0000-1971</v>
      </c>
      <c r="B8277" s="4" t="s">
        <v>3100</v>
      </c>
      <c r="C8277" s="5">
        <v>41489</v>
      </c>
      <c r="D8277" s="5">
        <v>41549</v>
      </c>
      <c r="E8277" s="4" t="s">
        <v>2944</v>
      </c>
      <c r="F8277" s="4" t="s">
        <v>2945</v>
      </c>
    </row>
    <row r="8278" spans="1:6" x14ac:dyDescent="0.25">
      <c r="A8278" s="4" t="str">
        <f>CONCATENATE("3071-0000-2736","")</f>
        <v>3071-0000-2736</v>
      </c>
      <c r="B8278" s="4" t="s">
        <v>829</v>
      </c>
      <c r="C8278" s="5">
        <v>41489</v>
      </c>
      <c r="D8278" s="5">
        <v>41549</v>
      </c>
      <c r="E8278" s="4" t="s">
        <v>7</v>
      </c>
      <c r="F8278" s="4" t="s">
        <v>808</v>
      </c>
    </row>
    <row r="8279" spans="1:6" x14ac:dyDescent="0.25">
      <c r="A8279" s="4" t="str">
        <f>CONCATENATE("3071-0000-4399","")</f>
        <v>3071-0000-4399</v>
      </c>
      <c r="B8279" s="4" t="s">
        <v>9254</v>
      </c>
      <c r="C8279" s="5">
        <v>41489</v>
      </c>
      <c r="D8279" s="5">
        <v>41549</v>
      </c>
      <c r="E8279" s="4" t="s">
        <v>1410</v>
      </c>
      <c r="F8279" s="4" t="s">
        <v>8696</v>
      </c>
    </row>
    <row r="8280" spans="1:6" x14ac:dyDescent="0.25">
      <c r="A8280" s="4" t="str">
        <f>CONCATENATE("3071-0000-1310","")</f>
        <v>3071-0000-1310</v>
      </c>
      <c r="B8280" s="4" t="s">
        <v>2428</v>
      </c>
      <c r="C8280" s="5">
        <v>41489</v>
      </c>
      <c r="D8280" s="5">
        <v>41549</v>
      </c>
      <c r="E8280" s="4" t="s">
        <v>1381</v>
      </c>
      <c r="F8280" s="4" t="s">
        <v>2303</v>
      </c>
    </row>
    <row r="8281" spans="1:6" x14ac:dyDescent="0.25">
      <c r="A8281" s="4" t="str">
        <f>CONCATENATE("3071-0000-3622","")</f>
        <v>3071-0000-3622</v>
      </c>
      <c r="B8281" s="4" t="s">
        <v>1628</v>
      </c>
      <c r="C8281" s="5">
        <v>41489</v>
      </c>
      <c r="D8281" s="5">
        <v>41549</v>
      </c>
      <c r="E8281" s="4" t="s">
        <v>1410</v>
      </c>
      <c r="F8281" s="4" t="s">
        <v>1410</v>
      </c>
    </row>
    <row r="8282" spans="1:6" x14ac:dyDescent="0.25">
      <c r="A8282" s="4" t="str">
        <f>CONCATENATE("3071-0000-0811","")</f>
        <v>3071-0000-0811</v>
      </c>
      <c r="B8282" s="4" t="s">
        <v>1869</v>
      </c>
      <c r="C8282" s="5">
        <v>41489</v>
      </c>
      <c r="D8282" s="5">
        <v>41549</v>
      </c>
      <c r="E8282" s="4" t="s">
        <v>1857</v>
      </c>
      <c r="F8282" s="4" t="s">
        <v>1857</v>
      </c>
    </row>
    <row r="8283" spans="1:6" x14ac:dyDescent="0.25">
      <c r="A8283" s="4" t="str">
        <f>CONCATENATE("3071-0000-5651","")</f>
        <v>3071-0000-5651</v>
      </c>
      <c r="B8283" s="4" t="s">
        <v>7277</v>
      </c>
      <c r="C8283" s="5">
        <v>41489</v>
      </c>
      <c r="D8283" s="5">
        <v>41549</v>
      </c>
      <c r="E8283" s="4" t="s">
        <v>5185</v>
      </c>
      <c r="F8283" s="4" t="s">
        <v>5185</v>
      </c>
    </row>
    <row r="8284" spans="1:6" x14ac:dyDescent="0.25">
      <c r="A8284" s="4" t="str">
        <f>CONCATENATE("3071-0000-5650","")</f>
        <v>3071-0000-5650</v>
      </c>
      <c r="B8284" s="4" t="s">
        <v>7275</v>
      </c>
      <c r="C8284" s="5">
        <v>41489</v>
      </c>
      <c r="D8284" s="5">
        <v>41549</v>
      </c>
      <c r="E8284" s="4" t="s">
        <v>5185</v>
      </c>
      <c r="F8284" s="4" t="s">
        <v>5185</v>
      </c>
    </row>
    <row r="8285" spans="1:6" x14ac:dyDescent="0.25">
      <c r="A8285" s="4" t="str">
        <f>CONCATENATE("3071-0000-4691","")</f>
        <v>3071-0000-4691</v>
      </c>
      <c r="B8285" s="4" t="s">
        <v>9442</v>
      </c>
      <c r="C8285" s="5">
        <v>41489</v>
      </c>
      <c r="D8285" s="5">
        <v>41549</v>
      </c>
      <c r="E8285" s="4" t="s">
        <v>1410</v>
      </c>
      <c r="F8285" s="4" t="s">
        <v>8696</v>
      </c>
    </row>
    <row r="8286" spans="1:6" x14ac:dyDescent="0.25">
      <c r="A8286" s="4" t="str">
        <f>CONCATENATE("3071-0000-2544","")</f>
        <v>3071-0000-2544</v>
      </c>
      <c r="B8286" s="4" t="s">
        <v>3083</v>
      </c>
      <c r="C8286" s="5">
        <v>41489</v>
      </c>
      <c r="D8286" s="5">
        <v>41549</v>
      </c>
      <c r="E8286" s="4" t="s">
        <v>2944</v>
      </c>
      <c r="F8286" s="4" t="s">
        <v>2945</v>
      </c>
    </row>
    <row r="8287" spans="1:6" x14ac:dyDescent="0.25">
      <c r="A8287" s="4" t="str">
        <f>CONCATENATE("3071-0000-6305","")</f>
        <v>3071-0000-6305</v>
      </c>
      <c r="B8287" s="4" t="s">
        <v>7072</v>
      </c>
      <c r="C8287" s="5">
        <v>41489</v>
      </c>
      <c r="D8287" s="5">
        <v>41549</v>
      </c>
      <c r="E8287" s="4" t="s">
        <v>7069</v>
      </c>
      <c r="F8287" s="4" t="s">
        <v>7070</v>
      </c>
    </row>
    <row r="8288" spans="1:6" x14ac:dyDescent="0.25">
      <c r="A8288" s="4" t="str">
        <f>CONCATENATE("3071-0000-6265","")</f>
        <v>3071-0000-6265</v>
      </c>
      <c r="B8288" s="4" t="s">
        <v>7221</v>
      </c>
      <c r="C8288" s="5">
        <v>41489</v>
      </c>
      <c r="D8288" s="5">
        <v>41549</v>
      </c>
      <c r="E8288" s="4" t="s">
        <v>7069</v>
      </c>
      <c r="F8288" s="4" t="s">
        <v>7183</v>
      </c>
    </row>
    <row r="8289" spans="1:6" x14ac:dyDescent="0.25">
      <c r="A8289" s="4" t="str">
        <f>CONCATENATE("3071-0000-6143","")</f>
        <v>3071-0000-6143</v>
      </c>
      <c r="B8289" s="4" t="s">
        <v>7220</v>
      </c>
      <c r="C8289" s="5">
        <v>41489</v>
      </c>
      <c r="D8289" s="5">
        <v>41549</v>
      </c>
      <c r="E8289" s="4" t="s">
        <v>7069</v>
      </c>
      <c r="F8289" s="4" t="s">
        <v>7183</v>
      </c>
    </row>
    <row r="8290" spans="1:6" x14ac:dyDescent="0.25">
      <c r="A8290" s="4" t="str">
        <f>CONCATENATE("3071-0000-8415","")</f>
        <v>3071-0000-8415</v>
      </c>
      <c r="B8290" s="4" t="s">
        <v>5624</v>
      </c>
      <c r="C8290" s="5">
        <v>41489</v>
      </c>
      <c r="D8290" s="5">
        <v>41549</v>
      </c>
      <c r="E8290" s="4" t="s">
        <v>5185</v>
      </c>
      <c r="F8290" s="4" t="s">
        <v>5250</v>
      </c>
    </row>
    <row r="8291" spans="1:6" x14ac:dyDescent="0.25">
      <c r="A8291" s="4" t="str">
        <f>CONCATENATE("3071-0000-8561","")</f>
        <v>3071-0000-8561</v>
      </c>
      <c r="B8291" s="4" t="s">
        <v>5749</v>
      </c>
      <c r="C8291" s="5">
        <v>41489</v>
      </c>
      <c r="D8291" s="5">
        <v>41549</v>
      </c>
      <c r="E8291" s="4" t="s">
        <v>5185</v>
      </c>
      <c r="F8291" s="4" t="s">
        <v>5250</v>
      </c>
    </row>
    <row r="8292" spans="1:6" x14ac:dyDescent="0.25">
      <c r="A8292" s="4" t="str">
        <f>CONCATENATE("3071-0000-7882","")</f>
        <v>3071-0000-7882</v>
      </c>
      <c r="B8292" s="4" t="s">
        <v>5204</v>
      </c>
      <c r="C8292" s="5">
        <v>41489</v>
      </c>
      <c r="D8292" s="5">
        <v>41549</v>
      </c>
      <c r="E8292" s="4" t="s">
        <v>5185</v>
      </c>
      <c r="F8292" s="4" t="s">
        <v>5185</v>
      </c>
    </row>
    <row r="8293" spans="1:6" x14ac:dyDescent="0.25">
      <c r="A8293" s="4" t="str">
        <f>CONCATENATE("3071-0000-9020","")</f>
        <v>3071-0000-9020</v>
      </c>
      <c r="B8293" s="4" t="s">
        <v>6509</v>
      </c>
      <c r="C8293" s="5">
        <v>41489</v>
      </c>
      <c r="D8293" s="5">
        <v>41549</v>
      </c>
      <c r="E8293" s="4" t="s">
        <v>5185</v>
      </c>
      <c r="F8293" s="4" t="s">
        <v>5292</v>
      </c>
    </row>
    <row r="8294" spans="1:6" x14ac:dyDescent="0.25">
      <c r="A8294" s="4" t="str">
        <f>CONCATENATE("3071-0000-8352","")</f>
        <v>3071-0000-8352</v>
      </c>
      <c r="B8294" s="4" t="s">
        <v>6187</v>
      </c>
      <c r="C8294" s="5">
        <v>41489</v>
      </c>
      <c r="D8294" s="5">
        <v>41549</v>
      </c>
      <c r="E8294" s="4" t="s">
        <v>5185</v>
      </c>
      <c r="F8294" s="4" t="s">
        <v>5185</v>
      </c>
    </row>
    <row r="8295" spans="1:6" x14ac:dyDescent="0.25">
      <c r="A8295" s="4" t="str">
        <f>CONCATENATE("3071-0000-8815","")</f>
        <v>3071-0000-8815</v>
      </c>
      <c r="B8295" s="4" t="s">
        <v>6607</v>
      </c>
      <c r="C8295" s="5">
        <v>41489</v>
      </c>
      <c r="D8295" s="5">
        <v>41549</v>
      </c>
      <c r="E8295" s="4" t="s">
        <v>5185</v>
      </c>
      <c r="F8295" s="4" t="s">
        <v>5292</v>
      </c>
    </row>
    <row r="8296" spans="1:6" x14ac:dyDescent="0.25">
      <c r="A8296" s="4" t="str">
        <f>CONCATENATE("3071-0000-7917","")</f>
        <v>3071-0000-7917</v>
      </c>
      <c r="B8296" s="4" t="s">
        <v>5612</v>
      </c>
      <c r="C8296" s="5">
        <v>41489</v>
      </c>
      <c r="D8296" s="5">
        <v>41549</v>
      </c>
      <c r="E8296" s="4" t="s">
        <v>5185</v>
      </c>
      <c r="F8296" s="4" t="s">
        <v>5185</v>
      </c>
    </row>
    <row r="8297" spans="1:6" x14ac:dyDescent="0.25">
      <c r="A8297" s="4" t="str">
        <f>CONCATENATE("3071-0000-8826","")</f>
        <v>3071-0000-8826</v>
      </c>
      <c r="B8297" s="4" t="s">
        <v>6481</v>
      </c>
      <c r="C8297" s="5">
        <v>41489</v>
      </c>
      <c r="D8297" s="5">
        <v>41549</v>
      </c>
      <c r="E8297" s="4" t="s">
        <v>5185</v>
      </c>
      <c r="F8297" s="4" t="s">
        <v>5292</v>
      </c>
    </row>
    <row r="8298" spans="1:6" x14ac:dyDescent="0.25">
      <c r="A8298" s="4" t="str">
        <f>CONCATENATE("3071-0000-8855","")</f>
        <v>3071-0000-8855</v>
      </c>
      <c r="B8298" s="4" t="s">
        <v>6488</v>
      </c>
      <c r="C8298" s="5">
        <v>41489</v>
      </c>
      <c r="D8298" s="5">
        <v>41549</v>
      </c>
      <c r="E8298" s="4" t="s">
        <v>5185</v>
      </c>
      <c r="F8298" s="4" t="s">
        <v>5292</v>
      </c>
    </row>
    <row r="8299" spans="1:6" x14ac:dyDescent="0.25">
      <c r="A8299" s="4" t="str">
        <f>CONCATENATE("3071-0000-8225","")</f>
        <v>3071-0000-8225</v>
      </c>
      <c r="B8299" s="4" t="s">
        <v>5717</v>
      </c>
      <c r="C8299" s="5">
        <v>41489</v>
      </c>
      <c r="D8299" s="5">
        <v>41549</v>
      </c>
      <c r="E8299" s="4" t="s">
        <v>5185</v>
      </c>
      <c r="F8299" s="4" t="s">
        <v>5185</v>
      </c>
    </row>
    <row r="8300" spans="1:6" x14ac:dyDescent="0.25">
      <c r="A8300" s="4" t="str">
        <f>CONCATENATE("3071-0000-8441","")</f>
        <v>3071-0000-8441</v>
      </c>
      <c r="B8300" s="4" t="s">
        <v>5560</v>
      </c>
      <c r="C8300" s="5">
        <v>41489</v>
      </c>
      <c r="D8300" s="5">
        <v>41549</v>
      </c>
      <c r="E8300" s="4" t="s">
        <v>5185</v>
      </c>
      <c r="F8300" s="4" t="s">
        <v>5250</v>
      </c>
    </row>
    <row r="8301" spans="1:6" x14ac:dyDescent="0.25">
      <c r="A8301" s="4" t="str">
        <f>CONCATENATE("3071-0000-8229","")</f>
        <v>3071-0000-8229</v>
      </c>
      <c r="B8301" s="4" t="s">
        <v>5722</v>
      </c>
      <c r="C8301" s="5">
        <v>41489</v>
      </c>
      <c r="D8301" s="5">
        <v>41549</v>
      </c>
      <c r="E8301" s="4" t="s">
        <v>5185</v>
      </c>
      <c r="F8301" s="4" t="s">
        <v>5185</v>
      </c>
    </row>
    <row r="8302" spans="1:6" x14ac:dyDescent="0.25">
      <c r="A8302" s="4" t="str">
        <f>CONCATENATE("3071-0000-9022","")</f>
        <v>3071-0000-9022</v>
      </c>
      <c r="B8302" s="4" t="s">
        <v>6507</v>
      </c>
      <c r="C8302" s="5">
        <v>41489</v>
      </c>
      <c r="D8302" s="5">
        <v>41549</v>
      </c>
      <c r="E8302" s="4" t="s">
        <v>5185</v>
      </c>
      <c r="F8302" s="4" t="s">
        <v>5292</v>
      </c>
    </row>
    <row r="8303" spans="1:6" x14ac:dyDescent="0.25">
      <c r="A8303" s="4" t="str">
        <f>CONCATENATE("3071-0000-7921","")</f>
        <v>3071-0000-7921</v>
      </c>
      <c r="B8303" s="4" t="s">
        <v>5618</v>
      </c>
      <c r="C8303" s="5">
        <v>41489</v>
      </c>
      <c r="D8303" s="5">
        <v>41549</v>
      </c>
      <c r="E8303" s="4" t="s">
        <v>5185</v>
      </c>
      <c r="F8303" s="4" t="s">
        <v>5185</v>
      </c>
    </row>
    <row r="8304" spans="1:6" x14ac:dyDescent="0.25">
      <c r="A8304" s="4" t="str">
        <f>CONCATENATE("3071-0000-8841","")</f>
        <v>3071-0000-8841</v>
      </c>
      <c r="B8304" s="4" t="s">
        <v>5713</v>
      </c>
      <c r="C8304" s="5">
        <v>41489</v>
      </c>
      <c r="D8304" s="5">
        <v>41549</v>
      </c>
      <c r="E8304" s="4" t="s">
        <v>5185</v>
      </c>
      <c r="F8304" s="4" t="s">
        <v>5292</v>
      </c>
    </row>
    <row r="8305" spans="1:6" x14ac:dyDescent="0.25">
      <c r="A8305" s="4" t="str">
        <f>CONCATENATE("3071-0000-7817","")</f>
        <v>3071-0000-7817</v>
      </c>
      <c r="B8305" s="4" t="s">
        <v>5528</v>
      </c>
      <c r="C8305" s="5">
        <v>41489</v>
      </c>
      <c r="D8305" s="5">
        <v>41549</v>
      </c>
      <c r="E8305" s="4" t="s">
        <v>5185</v>
      </c>
      <c r="F8305" s="4" t="s">
        <v>5185</v>
      </c>
    </row>
    <row r="8306" spans="1:6" x14ac:dyDescent="0.25">
      <c r="A8306" s="4" t="str">
        <f>CONCATENATE("3071-0000-2017","")</f>
        <v>3071-0000-2017</v>
      </c>
      <c r="B8306" s="4" t="s">
        <v>3286</v>
      </c>
      <c r="C8306" s="5">
        <v>41489</v>
      </c>
      <c r="D8306" s="5">
        <v>41549</v>
      </c>
      <c r="E8306" s="4" t="s">
        <v>2944</v>
      </c>
      <c r="F8306" s="4" t="s">
        <v>2945</v>
      </c>
    </row>
    <row r="8307" spans="1:6" x14ac:dyDescent="0.25">
      <c r="A8307" s="4" t="str">
        <f>CONCATENATE("3071-0000-0011","")</f>
        <v>3071-0000-0011</v>
      </c>
      <c r="B8307" s="4" t="s">
        <v>22</v>
      </c>
      <c r="C8307" s="5">
        <v>41489</v>
      </c>
      <c r="D8307" s="5">
        <v>41549</v>
      </c>
      <c r="E8307" s="4" t="s">
        <v>7</v>
      </c>
      <c r="F8307" s="4" t="s">
        <v>7</v>
      </c>
    </row>
    <row r="8308" spans="1:6" x14ac:dyDescent="0.25">
      <c r="A8308" s="4" t="str">
        <f>CONCATENATE("3071-0000-5354","")</f>
        <v>3071-0000-5354</v>
      </c>
      <c r="B8308" s="4" t="s">
        <v>6856</v>
      </c>
      <c r="C8308" s="5">
        <v>41489</v>
      </c>
      <c r="D8308" s="5">
        <v>41549</v>
      </c>
      <c r="E8308" s="4" t="s">
        <v>5185</v>
      </c>
      <c r="F8308" s="4" t="s">
        <v>5185</v>
      </c>
    </row>
    <row r="8309" spans="1:6" x14ac:dyDescent="0.25">
      <c r="A8309" s="4" t="str">
        <f>CONCATENATE("3071-0000-3198","")</f>
        <v>3071-0000-3198</v>
      </c>
      <c r="B8309" s="4" t="s">
        <v>1182</v>
      </c>
      <c r="C8309" s="5">
        <v>41489</v>
      </c>
      <c r="D8309" s="5">
        <v>41549</v>
      </c>
      <c r="E8309" s="4" t="s">
        <v>7</v>
      </c>
      <c r="F8309" s="4" t="s">
        <v>808</v>
      </c>
    </row>
    <row r="8310" spans="1:6" x14ac:dyDescent="0.25">
      <c r="A8310" s="4" t="str">
        <f>CONCATENATE("3071-0000-0459","")</f>
        <v>3071-0000-0459</v>
      </c>
      <c r="B8310" s="4" t="s">
        <v>398</v>
      </c>
      <c r="C8310" s="5">
        <v>41489</v>
      </c>
      <c r="D8310" s="5">
        <v>41549</v>
      </c>
      <c r="E8310" s="4" t="s">
        <v>7</v>
      </c>
      <c r="F8310" s="4" t="s">
        <v>7</v>
      </c>
    </row>
    <row r="8311" spans="1:6" x14ac:dyDescent="0.25">
      <c r="A8311" s="4" t="str">
        <f>CONCATENATE("3071-0000-3478","")</f>
        <v>3071-0000-3478</v>
      </c>
      <c r="B8311" s="4" t="s">
        <v>1770</v>
      </c>
      <c r="C8311" s="5">
        <v>41489</v>
      </c>
      <c r="D8311" s="5">
        <v>41549</v>
      </c>
      <c r="E8311" s="4" t="s">
        <v>1410</v>
      </c>
      <c r="F8311" s="4" t="s">
        <v>1411</v>
      </c>
    </row>
    <row r="8312" spans="1:6" x14ac:dyDescent="0.25">
      <c r="A8312" s="4" t="str">
        <f>CONCATENATE("3071-0000-3095","")</f>
        <v>3071-0000-3095</v>
      </c>
      <c r="B8312" s="4" t="s">
        <v>1198</v>
      </c>
      <c r="C8312" s="5">
        <v>41489</v>
      </c>
      <c r="D8312" s="5">
        <v>41549</v>
      </c>
      <c r="E8312" s="4" t="s">
        <v>7</v>
      </c>
      <c r="F8312" s="4" t="s">
        <v>808</v>
      </c>
    </row>
    <row r="8313" spans="1:6" x14ac:dyDescent="0.25">
      <c r="A8313" s="4" t="str">
        <f>CONCATENATE("3071-0000-2809","")</f>
        <v>3071-0000-2809</v>
      </c>
      <c r="B8313" s="4" t="s">
        <v>1043</v>
      </c>
      <c r="C8313" s="5">
        <v>41489</v>
      </c>
      <c r="D8313" s="5">
        <v>41549</v>
      </c>
      <c r="E8313" s="4" t="s">
        <v>7</v>
      </c>
      <c r="F8313" s="4" t="s">
        <v>808</v>
      </c>
    </row>
    <row r="8314" spans="1:6" x14ac:dyDescent="0.25">
      <c r="A8314" s="4" t="str">
        <f>CONCATENATE("3071-0000-0796","")</f>
        <v>3071-0000-0796</v>
      </c>
      <c r="B8314" s="4" t="s">
        <v>59</v>
      </c>
      <c r="C8314" s="5">
        <v>41489</v>
      </c>
      <c r="D8314" s="5">
        <v>41549</v>
      </c>
      <c r="E8314" s="4" t="s">
        <v>7</v>
      </c>
      <c r="F8314" s="4" t="s">
        <v>7</v>
      </c>
    </row>
    <row r="8315" spans="1:6" x14ac:dyDescent="0.25">
      <c r="A8315" s="4" t="str">
        <f>CONCATENATE("3071-0000-5521","")</f>
        <v>3071-0000-5521</v>
      </c>
      <c r="B8315" s="4" t="s">
        <v>6847</v>
      </c>
      <c r="C8315" s="5">
        <v>41489</v>
      </c>
      <c r="D8315" s="5">
        <v>41549</v>
      </c>
      <c r="E8315" s="4" t="s">
        <v>5185</v>
      </c>
      <c r="F8315" s="4" t="s">
        <v>6837</v>
      </c>
    </row>
    <row r="8316" spans="1:6" x14ac:dyDescent="0.25">
      <c r="A8316" s="4" t="str">
        <f>CONCATENATE("3071-0000-0758","")</f>
        <v>3071-0000-0758</v>
      </c>
      <c r="B8316" s="4" t="s">
        <v>247</v>
      </c>
      <c r="C8316" s="5">
        <v>41489</v>
      </c>
      <c r="D8316" s="5">
        <v>41549</v>
      </c>
      <c r="E8316" s="4" t="s">
        <v>7</v>
      </c>
      <c r="F8316" s="4" t="s">
        <v>7</v>
      </c>
    </row>
    <row r="8317" spans="1:6" x14ac:dyDescent="0.25">
      <c r="A8317" s="4" t="str">
        <f>CONCATENATE("3071-0000-0622","")</f>
        <v>3071-0000-0622</v>
      </c>
      <c r="B8317" s="4" t="s">
        <v>775</v>
      </c>
      <c r="C8317" s="5">
        <v>41489</v>
      </c>
      <c r="D8317" s="5">
        <v>41549</v>
      </c>
      <c r="E8317" s="4" t="s">
        <v>7</v>
      </c>
      <c r="F8317" s="4" t="s">
        <v>7</v>
      </c>
    </row>
    <row r="8318" spans="1:6" x14ac:dyDescent="0.25">
      <c r="A8318" s="4" t="str">
        <f>CONCATENATE("3071-0000-0110","")</f>
        <v>3071-0000-0110</v>
      </c>
      <c r="B8318" s="4" t="s">
        <v>226</v>
      </c>
      <c r="C8318" s="5">
        <v>41489</v>
      </c>
      <c r="D8318" s="5">
        <v>41549</v>
      </c>
      <c r="E8318" s="4" t="s">
        <v>7</v>
      </c>
      <c r="F8318" s="4" t="s">
        <v>7</v>
      </c>
    </row>
    <row r="8319" spans="1:6" x14ac:dyDescent="0.25">
      <c r="A8319" s="4" t="str">
        <f>CONCATENATE("3071-0000-2810","")</f>
        <v>3071-0000-2810</v>
      </c>
      <c r="B8319" s="4" t="s">
        <v>1044</v>
      </c>
      <c r="C8319" s="5">
        <v>41489</v>
      </c>
      <c r="D8319" s="5">
        <v>41549</v>
      </c>
      <c r="E8319" s="4" t="s">
        <v>7</v>
      </c>
      <c r="F8319" s="4" t="s">
        <v>808</v>
      </c>
    </row>
    <row r="8320" spans="1:6" x14ac:dyDescent="0.25">
      <c r="A8320" s="4" t="str">
        <f>CONCATENATE("3071-0000-0365","")</f>
        <v>3071-0000-0365</v>
      </c>
      <c r="B8320" s="4" t="s">
        <v>758</v>
      </c>
      <c r="C8320" s="5">
        <v>41489</v>
      </c>
      <c r="D8320" s="5">
        <v>41549</v>
      </c>
      <c r="E8320" s="4" t="s">
        <v>7</v>
      </c>
      <c r="F8320" s="4" t="s">
        <v>7</v>
      </c>
    </row>
    <row r="8321" spans="1:6" x14ac:dyDescent="0.25">
      <c r="A8321" s="4" t="str">
        <f>CONCATENATE("3071-0000-5509","")</f>
        <v>3071-0000-5509</v>
      </c>
      <c r="B8321" s="4" t="s">
        <v>6850</v>
      </c>
      <c r="C8321" s="5">
        <v>41489</v>
      </c>
      <c r="D8321" s="5">
        <v>41549</v>
      </c>
      <c r="E8321" s="4" t="s">
        <v>5185</v>
      </c>
      <c r="F8321" s="4" t="s">
        <v>6837</v>
      </c>
    </row>
    <row r="8322" spans="1:6" x14ac:dyDescent="0.25">
      <c r="A8322" s="4" t="str">
        <f>CONCATENATE("3071-0000-0188","")</f>
        <v>3071-0000-0188</v>
      </c>
      <c r="B8322" s="4" t="s">
        <v>414</v>
      </c>
      <c r="C8322" s="5">
        <v>41489</v>
      </c>
      <c r="D8322" s="5">
        <v>41549</v>
      </c>
      <c r="E8322" s="4" t="s">
        <v>7</v>
      </c>
      <c r="F8322" s="4" t="s">
        <v>7</v>
      </c>
    </row>
    <row r="8323" spans="1:6" x14ac:dyDescent="0.25">
      <c r="A8323" s="4" t="str">
        <f>CONCATENATE("3071-0000-3310","")</f>
        <v>3071-0000-3310</v>
      </c>
      <c r="B8323" s="4" t="s">
        <v>1385</v>
      </c>
      <c r="C8323" s="5">
        <v>41489</v>
      </c>
      <c r="D8323" s="5">
        <v>41549</v>
      </c>
      <c r="E8323" s="4" t="s">
        <v>7</v>
      </c>
      <c r="F8323" s="4" t="s">
        <v>7</v>
      </c>
    </row>
    <row r="8324" spans="1:6" x14ac:dyDescent="0.25">
      <c r="A8324" s="4" t="str">
        <f>CONCATENATE("3071-0000-3093","")</f>
        <v>3071-0000-3093</v>
      </c>
      <c r="B8324" s="4" t="s">
        <v>1033</v>
      </c>
      <c r="C8324" s="5">
        <v>41489</v>
      </c>
      <c r="D8324" s="5">
        <v>41549</v>
      </c>
      <c r="E8324" s="4" t="s">
        <v>7</v>
      </c>
      <c r="F8324" s="4" t="s">
        <v>808</v>
      </c>
    </row>
    <row r="8325" spans="1:6" x14ac:dyDescent="0.25">
      <c r="A8325" s="4" t="str">
        <f>CONCATENATE("3071-0000-9108","")</f>
        <v>3071-0000-9108</v>
      </c>
      <c r="B8325" s="4" t="s">
        <v>5283</v>
      </c>
      <c r="C8325" s="5">
        <v>41489</v>
      </c>
      <c r="D8325" s="5">
        <v>41549</v>
      </c>
      <c r="E8325" s="4" t="s">
        <v>5185</v>
      </c>
      <c r="F8325" s="4" t="s">
        <v>5185</v>
      </c>
    </row>
    <row r="8326" spans="1:6" x14ac:dyDescent="0.25">
      <c r="A8326" s="4" t="str">
        <f>CONCATENATE("3071-0000-8295","")</f>
        <v>3071-0000-8295</v>
      </c>
      <c r="B8326" s="4" t="s">
        <v>6235</v>
      </c>
      <c r="C8326" s="5">
        <v>41489</v>
      </c>
      <c r="D8326" s="5">
        <v>41549</v>
      </c>
      <c r="E8326" s="4" t="s">
        <v>5185</v>
      </c>
      <c r="F8326" s="4" t="s">
        <v>5185</v>
      </c>
    </row>
    <row r="8327" spans="1:6" x14ac:dyDescent="0.25">
      <c r="A8327" s="4" t="str">
        <f>CONCATENATE("3071-0000-8307","")</f>
        <v>3071-0000-8307</v>
      </c>
      <c r="B8327" s="4" t="s">
        <v>6244</v>
      </c>
      <c r="C8327" s="5">
        <v>41489</v>
      </c>
      <c r="D8327" s="5">
        <v>41549</v>
      </c>
      <c r="E8327" s="4" t="s">
        <v>5185</v>
      </c>
      <c r="F8327" s="4" t="s">
        <v>5185</v>
      </c>
    </row>
    <row r="8328" spans="1:6" x14ac:dyDescent="0.25">
      <c r="A8328" s="4" t="str">
        <f>CONCATENATE("3071-0000-8276","")</f>
        <v>3071-0000-8276</v>
      </c>
      <c r="B8328" s="4" t="s">
        <v>6214</v>
      </c>
      <c r="C8328" s="5">
        <v>41489</v>
      </c>
      <c r="D8328" s="5">
        <v>41549</v>
      </c>
      <c r="E8328" s="4" t="s">
        <v>5185</v>
      </c>
      <c r="F8328" s="4" t="s">
        <v>5185</v>
      </c>
    </row>
    <row r="8329" spans="1:6" x14ac:dyDescent="0.25">
      <c r="A8329" s="4" t="str">
        <f>CONCATENATE("3071-0000-8274","")</f>
        <v>3071-0000-8274</v>
      </c>
      <c r="B8329" s="4" t="s">
        <v>6212</v>
      </c>
      <c r="C8329" s="5">
        <v>41489</v>
      </c>
      <c r="D8329" s="5">
        <v>41549</v>
      </c>
      <c r="E8329" s="4" t="s">
        <v>5185</v>
      </c>
      <c r="F8329" s="4" t="s">
        <v>5185</v>
      </c>
    </row>
    <row r="8330" spans="1:6" x14ac:dyDescent="0.25">
      <c r="A8330" s="4" t="str">
        <f>CONCATENATE("3071-0000-8275","")</f>
        <v>3071-0000-8275</v>
      </c>
      <c r="B8330" s="4" t="s">
        <v>6213</v>
      </c>
      <c r="C8330" s="5">
        <v>41489</v>
      </c>
      <c r="D8330" s="5">
        <v>41549</v>
      </c>
      <c r="E8330" s="4" t="s">
        <v>5185</v>
      </c>
      <c r="F8330" s="4" t="s">
        <v>5185</v>
      </c>
    </row>
    <row r="8331" spans="1:6" x14ac:dyDescent="0.25">
      <c r="A8331" s="4" t="str">
        <f>CONCATENATE("3071-0000-1180","")</f>
        <v>3071-0000-1180</v>
      </c>
      <c r="B8331" s="4" t="s">
        <v>2093</v>
      </c>
      <c r="C8331" s="5">
        <v>41489</v>
      </c>
      <c r="D8331" s="5">
        <v>41549</v>
      </c>
      <c r="E8331" s="4" t="s">
        <v>1857</v>
      </c>
      <c r="F8331" s="4" t="s">
        <v>2052</v>
      </c>
    </row>
    <row r="8332" spans="1:6" x14ac:dyDescent="0.25">
      <c r="A8332" s="4" t="str">
        <f>CONCATENATE("3071-0000-2571","")</f>
        <v>3071-0000-2571</v>
      </c>
      <c r="B8332" s="4" t="s">
        <v>3257</v>
      </c>
      <c r="C8332" s="5">
        <v>41489</v>
      </c>
      <c r="D8332" s="5">
        <v>41549</v>
      </c>
      <c r="E8332" s="4" t="s">
        <v>2944</v>
      </c>
      <c r="F8332" s="4" t="s">
        <v>3164</v>
      </c>
    </row>
    <row r="8333" spans="1:6" x14ac:dyDescent="0.25">
      <c r="A8333" s="4" t="str">
        <f>CONCATENATE("3071-0000-0931","")</f>
        <v>3071-0000-0931</v>
      </c>
      <c r="B8333" s="4" t="s">
        <v>2077</v>
      </c>
      <c r="C8333" s="5">
        <v>41489</v>
      </c>
      <c r="D8333" s="5">
        <v>41549</v>
      </c>
      <c r="E8333" s="4" t="s">
        <v>1857</v>
      </c>
      <c r="F8333" s="4" t="s">
        <v>1857</v>
      </c>
    </row>
    <row r="8334" spans="1:6" x14ac:dyDescent="0.25">
      <c r="A8334" s="4" t="str">
        <f>CONCATENATE("3071-0000-7246","")</f>
        <v>3071-0000-7246</v>
      </c>
      <c r="B8334" s="4" t="s">
        <v>4936</v>
      </c>
      <c r="C8334" s="5">
        <v>41489</v>
      </c>
      <c r="D8334" s="5">
        <v>41549</v>
      </c>
      <c r="E8334" s="4" t="s">
        <v>1410</v>
      </c>
      <c r="F8334" s="4" t="s">
        <v>1410</v>
      </c>
    </row>
    <row r="8335" spans="1:6" x14ac:dyDescent="0.25">
      <c r="A8335" s="4" t="str">
        <f>CONCATENATE("3071-0000-2731","")</f>
        <v>3071-0000-2731</v>
      </c>
      <c r="B8335" s="4" t="s">
        <v>807</v>
      </c>
      <c r="C8335" s="5">
        <v>41489</v>
      </c>
      <c r="D8335" s="5">
        <v>41549</v>
      </c>
      <c r="E8335" s="4" t="s">
        <v>7</v>
      </c>
      <c r="F8335" s="4" t="s">
        <v>808</v>
      </c>
    </row>
    <row r="8336" spans="1:6" x14ac:dyDescent="0.25">
      <c r="A8336" s="4" t="str">
        <f>CONCATENATE("3071-0000-7452","")</f>
        <v>3071-0000-7452</v>
      </c>
      <c r="B8336" s="4" t="s">
        <v>4333</v>
      </c>
      <c r="C8336" s="5">
        <v>41489</v>
      </c>
      <c r="D8336" s="5">
        <v>41549</v>
      </c>
      <c r="E8336" s="4" t="s">
        <v>1410</v>
      </c>
      <c r="F8336" s="4" t="s">
        <v>1410</v>
      </c>
    </row>
    <row r="8337" spans="1:6" x14ac:dyDescent="0.25">
      <c r="A8337" s="4" t="str">
        <f>CONCATENATE("3071-0000-0520","")</f>
        <v>3071-0000-0520</v>
      </c>
      <c r="B8337" s="4" t="s">
        <v>693</v>
      </c>
      <c r="C8337" s="5">
        <v>41489</v>
      </c>
      <c r="D8337" s="5">
        <v>41549</v>
      </c>
      <c r="E8337" s="4" t="s">
        <v>7</v>
      </c>
      <c r="F8337" s="4" t="s">
        <v>7</v>
      </c>
    </row>
    <row r="8338" spans="1:6" x14ac:dyDescent="0.25">
      <c r="A8338" s="4" t="str">
        <f>CONCATENATE("3071-0000-1957","")</f>
        <v>3071-0000-1957</v>
      </c>
      <c r="B8338" s="4" t="s">
        <v>3068</v>
      </c>
      <c r="C8338" s="5">
        <v>41489</v>
      </c>
      <c r="D8338" s="5">
        <v>41549</v>
      </c>
      <c r="E8338" s="4" t="s">
        <v>2944</v>
      </c>
      <c r="F8338" s="4" t="s">
        <v>2945</v>
      </c>
    </row>
    <row r="8339" spans="1:6" x14ac:dyDescent="0.25">
      <c r="A8339" s="4" t="str">
        <f>CONCATENATE("3071-0000-2992","")</f>
        <v>3071-0000-2992</v>
      </c>
      <c r="B8339" s="4" t="s">
        <v>1107</v>
      </c>
      <c r="C8339" s="5">
        <v>41489</v>
      </c>
      <c r="D8339" s="5">
        <v>41549</v>
      </c>
      <c r="E8339" s="4" t="s">
        <v>7</v>
      </c>
      <c r="F8339" s="4" t="s">
        <v>808</v>
      </c>
    </row>
    <row r="8340" spans="1:6" x14ac:dyDescent="0.25">
      <c r="A8340" s="4" t="str">
        <f>CONCATENATE("3071-0000-6232","")</f>
        <v>3071-0000-6232</v>
      </c>
      <c r="B8340" s="4" t="s">
        <v>7010</v>
      </c>
      <c r="C8340" s="5">
        <v>41489</v>
      </c>
      <c r="D8340" s="5">
        <v>41549</v>
      </c>
      <c r="E8340" s="4" t="s">
        <v>1410</v>
      </c>
      <c r="F8340" s="4" t="s">
        <v>6798</v>
      </c>
    </row>
    <row r="8341" spans="1:6" x14ac:dyDescent="0.25">
      <c r="A8341" s="4" t="str">
        <f>CONCATENATE("3071-0000-2788","")</f>
        <v>3071-0000-2788</v>
      </c>
      <c r="B8341" s="4" t="s">
        <v>980</v>
      </c>
      <c r="C8341" s="5">
        <v>41489</v>
      </c>
      <c r="D8341" s="5">
        <v>41549</v>
      </c>
      <c r="E8341" s="4" t="s">
        <v>7</v>
      </c>
      <c r="F8341" s="4" t="s">
        <v>808</v>
      </c>
    </row>
    <row r="8342" spans="1:6" x14ac:dyDescent="0.25">
      <c r="A8342" s="4" t="str">
        <f>CONCATENATE("3071-0000-9110","")</f>
        <v>3071-0000-9110</v>
      </c>
      <c r="B8342" s="4" t="s">
        <v>5285</v>
      </c>
      <c r="C8342" s="5">
        <v>41489</v>
      </c>
      <c r="D8342" s="5">
        <v>41549</v>
      </c>
      <c r="E8342" s="4" t="s">
        <v>5185</v>
      </c>
      <c r="F8342" s="4" t="s">
        <v>5185</v>
      </c>
    </row>
    <row r="8343" spans="1:6" x14ac:dyDescent="0.25">
      <c r="A8343" s="4" t="str">
        <f>CONCATENATE("3071-0000-0521","")</f>
        <v>3071-0000-0521</v>
      </c>
      <c r="B8343" s="4" t="s">
        <v>697</v>
      </c>
      <c r="C8343" s="5">
        <v>41489</v>
      </c>
      <c r="D8343" s="5">
        <v>41549</v>
      </c>
      <c r="E8343" s="4" t="s">
        <v>7</v>
      </c>
      <c r="F8343" s="4" t="s">
        <v>7</v>
      </c>
    </row>
    <row r="8344" spans="1:6" x14ac:dyDescent="0.25">
      <c r="A8344" s="4" t="str">
        <f>CONCATENATE("3071-0000-0513","")</f>
        <v>3071-0000-0513</v>
      </c>
      <c r="B8344" s="4" t="s">
        <v>377</v>
      </c>
      <c r="C8344" s="5">
        <v>41489</v>
      </c>
      <c r="D8344" s="5">
        <v>41549</v>
      </c>
      <c r="E8344" s="4" t="s">
        <v>7</v>
      </c>
      <c r="F8344" s="4" t="s">
        <v>273</v>
      </c>
    </row>
    <row r="8345" spans="1:6" x14ac:dyDescent="0.25">
      <c r="A8345" s="4" t="str">
        <f>CONCATENATE("3071-0000-0519","")</f>
        <v>3071-0000-0519</v>
      </c>
      <c r="B8345" s="4" t="s">
        <v>694</v>
      </c>
      <c r="C8345" s="5">
        <v>41489</v>
      </c>
      <c r="D8345" s="5">
        <v>41549</v>
      </c>
      <c r="E8345" s="4" t="s">
        <v>7</v>
      </c>
      <c r="F8345" s="4" t="s">
        <v>7</v>
      </c>
    </row>
    <row r="8346" spans="1:6" x14ac:dyDescent="0.25">
      <c r="A8346" s="4" t="str">
        <f>CONCATENATE("3071-0000-2746","")</f>
        <v>3071-0000-2746</v>
      </c>
      <c r="B8346" s="4" t="s">
        <v>839</v>
      </c>
      <c r="C8346" s="5">
        <v>41489</v>
      </c>
      <c r="D8346" s="5">
        <v>41549</v>
      </c>
      <c r="E8346" s="4" t="s">
        <v>7</v>
      </c>
      <c r="F8346" s="4" t="s">
        <v>808</v>
      </c>
    </row>
    <row r="8347" spans="1:6" x14ac:dyDescent="0.25">
      <c r="A8347" s="4" t="str">
        <f>CONCATENATE("3071-0000-3076","")</f>
        <v>3071-0000-3076</v>
      </c>
      <c r="B8347" s="4" t="s">
        <v>880</v>
      </c>
      <c r="C8347" s="5">
        <v>41489</v>
      </c>
      <c r="D8347" s="5">
        <v>41549</v>
      </c>
      <c r="E8347" s="4" t="s">
        <v>7</v>
      </c>
      <c r="F8347" s="4" t="s">
        <v>808</v>
      </c>
    </row>
    <row r="8348" spans="1:6" x14ac:dyDescent="0.25">
      <c r="A8348" s="4" t="str">
        <f>CONCATENATE("3071-0000-5152","")</f>
        <v>3071-0000-5152</v>
      </c>
      <c r="B8348" s="4" t="s">
        <v>8994</v>
      </c>
      <c r="C8348" s="5">
        <v>41489</v>
      </c>
      <c r="D8348" s="5">
        <v>41549</v>
      </c>
      <c r="E8348" s="4" t="s">
        <v>1410</v>
      </c>
      <c r="F8348" s="4" t="s">
        <v>8903</v>
      </c>
    </row>
    <row r="8349" spans="1:6" x14ac:dyDescent="0.25">
      <c r="A8349" s="4" t="str">
        <f>CONCATENATE("3071-0000-5016","")</f>
        <v>3071-0000-5016</v>
      </c>
      <c r="B8349" s="4" t="s">
        <v>8902</v>
      </c>
      <c r="C8349" s="5">
        <v>41489</v>
      </c>
      <c r="D8349" s="5">
        <v>41549</v>
      </c>
      <c r="E8349" s="4" t="s">
        <v>1410</v>
      </c>
      <c r="F8349" s="4" t="s">
        <v>8903</v>
      </c>
    </row>
    <row r="8350" spans="1:6" x14ac:dyDescent="0.25">
      <c r="A8350" s="4" t="str">
        <f>CONCATENATE("3071-0000-7760","")</f>
        <v>3071-0000-7760</v>
      </c>
      <c r="B8350" s="4" t="s">
        <v>5071</v>
      </c>
      <c r="C8350" s="5">
        <v>41489</v>
      </c>
      <c r="D8350" s="5">
        <v>41549</v>
      </c>
      <c r="E8350" s="4" t="s">
        <v>1410</v>
      </c>
      <c r="F8350" s="4" t="s">
        <v>4616</v>
      </c>
    </row>
    <row r="8351" spans="1:6" x14ac:dyDescent="0.25">
      <c r="A8351" s="4" t="str">
        <f>CONCATENATE("3071-0000-7039","")</f>
        <v>3071-0000-7039</v>
      </c>
      <c r="B8351" s="4" t="s">
        <v>4877</v>
      </c>
      <c r="C8351" s="5">
        <v>41489</v>
      </c>
      <c r="D8351" s="5">
        <v>41549</v>
      </c>
      <c r="E8351" s="4" t="s">
        <v>1410</v>
      </c>
      <c r="F8351" s="4" t="s">
        <v>1410</v>
      </c>
    </row>
    <row r="8352" spans="1:6" x14ac:dyDescent="0.25">
      <c r="A8352" s="4" t="str">
        <f>CONCATENATE("3071-0000-5156","")</f>
        <v>3071-0000-5156</v>
      </c>
      <c r="B8352" s="4" t="s">
        <v>8992</v>
      </c>
      <c r="C8352" s="5">
        <v>41489</v>
      </c>
      <c r="D8352" s="5">
        <v>41549</v>
      </c>
      <c r="E8352" s="4" t="s">
        <v>1410</v>
      </c>
      <c r="F8352" s="4" t="s">
        <v>8903</v>
      </c>
    </row>
    <row r="8353" spans="1:6" x14ac:dyDescent="0.25">
      <c r="A8353" s="4" t="str">
        <f>CONCATENATE("3071-0000-8752","")</f>
        <v>3071-0000-8752</v>
      </c>
      <c r="B8353" s="4" t="s">
        <v>6518</v>
      </c>
      <c r="C8353" s="5">
        <v>41489</v>
      </c>
      <c r="D8353" s="5">
        <v>41549</v>
      </c>
      <c r="E8353" s="4" t="s">
        <v>5185</v>
      </c>
      <c r="F8353" s="4" t="s">
        <v>5292</v>
      </c>
    </row>
    <row r="8354" spans="1:6" x14ac:dyDescent="0.25">
      <c r="A8354" s="4" t="str">
        <f>CONCATENATE("3071-0000-7548","")</f>
        <v>3071-0000-7548</v>
      </c>
      <c r="B8354" s="4" t="s">
        <v>4446</v>
      </c>
      <c r="C8354" s="5">
        <v>41489</v>
      </c>
      <c r="D8354" s="5">
        <v>41549</v>
      </c>
      <c r="E8354" s="4" t="s">
        <v>1410</v>
      </c>
      <c r="F8354" s="4" t="s">
        <v>1410</v>
      </c>
    </row>
    <row r="8355" spans="1:6" x14ac:dyDescent="0.25">
      <c r="A8355" s="4" t="str">
        <f>CONCATENATE("3071-0000-8872","")</f>
        <v>3071-0000-8872</v>
      </c>
      <c r="B8355" s="4" t="s">
        <v>6584</v>
      </c>
      <c r="C8355" s="5">
        <v>41489</v>
      </c>
      <c r="D8355" s="5">
        <v>41549</v>
      </c>
      <c r="E8355" s="4" t="s">
        <v>5185</v>
      </c>
      <c r="F8355" s="4" t="s">
        <v>5292</v>
      </c>
    </row>
    <row r="8356" spans="1:6" x14ac:dyDescent="0.25">
      <c r="A8356" s="4" t="str">
        <f>CONCATENATE("3071-0000-4276","")</f>
        <v>3071-0000-4276</v>
      </c>
      <c r="B8356" s="4" t="s">
        <v>8901</v>
      </c>
      <c r="C8356" s="5">
        <v>41489</v>
      </c>
      <c r="D8356" s="5">
        <v>41549</v>
      </c>
      <c r="E8356" s="4" t="s">
        <v>1410</v>
      </c>
      <c r="F8356" s="4" t="s">
        <v>8696</v>
      </c>
    </row>
    <row r="8357" spans="1:6" x14ac:dyDescent="0.25">
      <c r="A8357" s="4" t="str">
        <f>CONCATENATE("3071-0000-9586","")</f>
        <v>3071-0000-9586</v>
      </c>
      <c r="B8357" s="4" t="s">
        <v>8619</v>
      </c>
      <c r="C8357" s="5">
        <v>41489</v>
      </c>
      <c r="D8357" s="5">
        <v>41549</v>
      </c>
      <c r="E8357" s="4" t="s">
        <v>1410</v>
      </c>
      <c r="F8357" s="4" t="s">
        <v>4459</v>
      </c>
    </row>
    <row r="8358" spans="1:6" x14ac:dyDescent="0.25">
      <c r="A8358" s="4" t="str">
        <f>CONCATENATE("3071-0000-6387","")</f>
        <v>3071-0000-6387</v>
      </c>
      <c r="B8358" s="4" t="s">
        <v>7828</v>
      </c>
      <c r="C8358" s="5">
        <v>41489</v>
      </c>
      <c r="D8358" s="5">
        <v>41549</v>
      </c>
      <c r="E8358" s="4" t="s">
        <v>5185</v>
      </c>
      <c r="F8358" s="4" t="s">
        <v>5185</v>
      </c>
    </row>
    <row r="8359" spans="1:6" x14ac:dyDescent="0.25">
      <c r="A8359" s="4" t="str">
        <f>CONCATENATE("3071-0000-9314","")</f>
        <v>3071-0000-9314</v>
      </c>
      <c r="B8359" s="4" t="s">
        <v>8595</v>
      </c>
      <c r="C8359" s="5">
        <v>41489</v>
      </c>
      <c r="D8359" s="5">
        <v>41549</v>
      </c>
      <c r="E8359" s="4" t="s">
        <v>5185</v>
      </c>
      <c r="F8359" s="4" t="s">
        <v>5185</v>
      </c>
    </row>
    <row r="8360" spans="1:6" x14ac:dyDescent="0.25">
      <c r="A8360" s="4" t="str">
        <f>CONCATENATE("3071-0000-9539","")</f>
        <v>3071-0000-9539</v>
      </c>
      <c r="B8360" s="4" t="s">
        <v>8646</v>
      </c>
      <c r="C8360" s="5">
        <v>41489</v>
      </c>
      <c r="D8360" s="5">
        <v>41549</v>
      </c>
      <c r="E8360" s="4" t="s">
        <v>1410</v>
      </c>
      <c r="F8360" s="4" t="s">
        <v>4459</v>
      </c>
    </row>
    <row r="8361" spans="1:6" x14ac:dyDescent="0.25">
      <c r="A8361" s="4" t="str">
        <f>CONCATENATE("3071-0000-7188","")</f>
        <v>3071-0000-7188</v>
      </c>
      <c r="B8361" s="4" t="s">
        <v>4947</v>
      </c>
      <c r="C8361" s="5">
        <v>41489</v>
      </c>
      <c r="D8361" s="5">
        <v>41549</v>
      </c>
      <c r="E8361" s="4" t="s">
        <v>1410</v>
      </c>
      <c r="F8361" s="4" t="s">
        <v>1410</v>
      </c>
    </row>
    <row r="8362" spans="1:6" x14ac:dyDescent="0.25">
      <c r="A8362" s="4" t="str">
        <f>CONCATENATE("3071-0000-8989","")</f>
        <v>3071-0000-8989</v>
      </c>
      <c r="B8362" s="4" t="s">
        <v>5679</v>
      </c>
      <c r="C8362" s="5">
        <v>41489</v>
      </c>
      <c r="D8362" s="5">
        <v>41549</v>
      </c>
      <c r="E8362" s="4" t="s">
        <v>5185</v>
      </c>
      <c r="F8362" s="4" t="s">
        <v>5250</v>
      </c>
    </row>
    <row r="8363" spans="1:6" x14ac:dyDescent="0.25">
      <c r="A8363" s="4" t="str">
        <f>CONCATENATE("3071-0000-7507","")</f>
        <v>3071-0000-7507</v>
      </c>
      <c r="B8363" s="4" t="s">
        <v>4629</v>
      </c>
      <c r="C8363" s="5">
        <v>41489</v>
      </c>
      <c r="D8363" s="5">
        <v>41549</v>
      </c>
      <c r="E8363" s="4" t="s">
        <v>1410</v>
      </c>
      <c r="F8363" s="4" t="s">
        <v>1410</v>
      </c>
    </row>
    <row r="8364" spans="1:6" x14ac:dyDescent="0.25">
      <c r="A8364" s="4" t="str">
        <f>CONCATENATE("3071-0000-8753","")</f>
        <v>3071-0000-8753</v>
      </c>
      <c r="B8364" s="4" t="s">
        <v>6516</v>
      </c>
      <c r="C8364" s="5">
        <v>41489</v>
      </c>
      <c r="D8364" s="5">
        <v>41549</v>
      </c>
      <c r="E8364" s="4" t="s">
        <v>5185</v>
      </c>
      <c r="F8364" s="4" t="s">
        <v>5292</v>
      </c>
    </row>
    <row r="8365" spans="1:6" x14ac:dyDescent="0.25">
      <c r="A8365" s="4" t="str">
        <f>CONCATENATE("3071-0000-6641","")</f>
        <v>3071-0000-6641</v>
      </c>
      <c r="B8365" s="4" t="s">
        <v>8238</v>
      </c>
      <c r="C8365" s="5">
        <v>41489</v>
      </c>
      <c r="D8365" s="5">
        <v>41549</v>
      </c>
      <c r="E8365" s="4" t="s">
        <v>5185</v>
      </c>
      <c r="F8365" s="4" t="s">
        <v>5185</v>
      </c>
    </row>
    <row r="8366" spans="1:6" x14ac:dyDescent="0.25">
      <c r="A8366" s="4" t="str">
        <f>CONCATENATE("3071-0000-4538","")</f>
        <v>3071-0000-4538</v>
      </c>
      <c r="B8366" s="4" t="s">
        <v>9062</v>
      </c>
      <c r="C8366" s="5">
        <v>41489</v>
      </c>
      <c r="D8366" s="5">
        <v>41549</v>
      </c>
      <c r="E8366" s="4" t="s">
        <v>1410</v>
      </c>
      <c r="F8366" s="4" t="s">
        <v>8696</v>
      </c>
    </row>
    <row r="8367" spans="1:6" x14ac:dyDescent="0.25">
      <c r="A8367" s="4" t="str">
        <f>CONCATENATE("3071-0000-2016","")</f>
        <v>3071-0000-2016</v>
      </c>
      <c r="B8367" s="4" t="s">
        <v>3285</v>
      </c>
      <c r="C8367" s="5">
        <v>41489</v>
      </c>
      <c r="D8367" s="5">
        <v>41549</v>
      </c>
      <c r="E8367" s="4" t="s">
        <v>2944</v>
      </c>
      <c r="F8367" s="4" t="s">
        <v>2945</v>
      </c>
    </row>
    <row r="8368" spans="1:6" x14ac:dyDescent="0.25">
      <c r="A8368" s="4" t="str">
        <f>CONCATENATE("3071-0000-0752","")</f>
        <v>3071-0000-0752</v>
      </c>
      <c r="B8368" s="4" t="s">
        <v>662</v>
      </c>
      <c r="C8368" s="5">
        <v>41489</v>
      </c>
      <c r="D8368" s="5">
        <v>41549</v>
      </c>
      <c r="E8368" s="4" t="s">
        <v>7</v>
      </c>
      <c r="F8368" s="4" t="s">
        <v>7</v>
      </c>
    </row>
    <row r="8369" spans="1:6" x14ac:dyDescent="0.25">
      <c r="A8369" s="4" t="str">
        <f>CONCATENATE("3071-0000-1926","")</f>
        <v>3071-0000-1926</v>
      </c>
      <c r="B8369" s="4" t="s">
        <v>3015</v>
      </c>
      <c r="C8369" s="5">
        <v>41489</v>
      </c>
      <c r="D8369" s="5">
        <v>41549</v>
      </c>
      <c r="E8369" s="4" t="s">
        <v>2944</v>
      </c>
      <c r="F8369" s="4" t="s">
        <v>2945</v>
      </c>
    </row>
    <row r="8370" spans="1:6" x14ac:dyDescent="0.25">
      <c r="A8370" s="4" t="str">
        <f>CONCATENATE("3071-0000-5143","")</f>
        <v>3071-0000-5143</v>
      </c>
      <c r="B8370" s="4" t="s">
        <v>8968</v>
      </c>
      <c r="C8370" s="5">
        <v>41489</v>
      </c>
      <c r="D8370" s="5">
        <v>41549</v>
      </c>
      <c r="E8370" s="4" t="s">
        <v>1410</v>
      </c>
      <c r="F8370" s="4" t="s">
        <v>8903</v>
      </c>
    </row>
    <row r="8371" spans="1:6" x14ac:dyDescent="0.25">
      <c r="A8371" s="4" t="str">
        <f>CONCATENATE("3071-0000-7642","")</f>
        <v>3071-0000-7642</v>
      </c>
      <c r="B8371" s="4" t="s">
        <v>5179</v>
      </c>
      <c r="C8371" s="5">
        <v>41489</v>
      </c>
      <c r="D8371" s="5">
        <v>41549</v>
      </c>
      <c r="E8371" s="4" t="s">
        <v>1410</v>
      </c>
      <c r="F8371" s="4" t="s">
        <v>4616</v>
      </c>
    </row>
    <row r="8372" spans="1:6" x14ac:dyDescent="0.25">
      <c r="A8372" s="4" t="str">
        <f>CONCATENATE("3071-0000-4267","")</f>
        <v>3071-0000-4267</v>
      </c>
      <c r="B8372" s="4" t="s">
        <v>8928</v>
      </c>
      <c r="C8372" s="5">
        <v>41489</v>
      </c>
      <c r="D8372" s="5">
        <v>41549</v>
      </c>
      <c r="E8372" s="4" t="s">
        <v>1410</v>
      </c>
      <c r="F8372" s="4" t="s">
        <v>8696</v>
      </c>
    </row>
    <row r="8373" spans="1:6" x14ac:dyDescent="0.25">
      <c r="A8373" s="4" t="str">
        <f>CONCATENATE("3071-0000-4268","")</f>
        <v>3071-0000-4268</v>
      </c>
      <c r="B8373" s="4" t="s">
        <v>8923</v>
      </c>
      <c r="C8373" s="5">
        <v>41489</v>
      </c>
      <c r="D8373" s="5">
        <v>41549</v>
      </c>
      <c r="E8373" s="4" t="s">
        <v>1410</v>
      </c>
      <c r="F8373" s="4" t="s">
        <v>8696</v>
      </c>
    </row>
    <row r="8374" spans="1:6" x14ac:dyDescent="0.25">
      <c r="A8374" s="4" t="str">
        <f>CONCATENATE("3071-0000-5127","")</f>
        <v>3071-0000-5127</v>
      </c>
      <c r="B8374" s="4" t="s">
        <v>8951</v>
      </c>
      <c r="C8374" s="5">
        <v>41489</v>
      </c>
      <c r="D8374" s="5">
        <v>41549</v>
      </c>
      <c r="E8374" s="4" t="s">
        <v>1410</v>
      </c>
      <c r="F8374" s="4" t="s">
        <v>8903</v>
      </c>
    </row>
    <row r="8375" spans="1:6" x14ac:dyDescent="0.25">
      <c r="A8375" s="4" t="str">
        <f>CONCATENATE("3071-0000-5117","")</f>
        <v>3071-0000-5117</v>
      </c>
      <c r="B8375" s="4" t="s">
        <v>8967</v>
      </c>
      <c r="C8375" s="5">
        <v>41489</v>
      </c>
      <c r="D8375" s="5">
        <v>41549</v>
      </c>
      <c r="E8375" s="4" t="s">
        <v>1410</v>
      </c>
      <c r="F8375" s="4" t="s">
        <v>8903</v>
      </c>
    </row>
    <row r="8376" spans="1:6" x14ac:dyDescent="0.25">
      <c r="A8376" s="4" t="str">
        <f>CONCATENATE("3071-0000-4291","")</f>
        <v>3071-0000-4291</v>
      </c>
      <c r="B8376" s="4" t="s">
        <v>8929</v>
      </c>
      <c r="C8376" s="5">
        <v>41489</v>
      </c>
      <c r="D8376" s="5">
        <v>41549</v>
      </c>
      <c r="E8376" s="4" t="s">
        <v>1410</v>
      </c>
      <c r="F8376" s="4" t="s">
        <v>8696</v>
      </c>
    </row>
    <row r="8377" spans="1:6" x14ac:dyDescent="0.25">
      <c r="A8377" s="4" t="str">
        <f>CONCATENATE("3071-0000-5114","")</f>
        <v>3071-0000-5114</v>
      </c>
      <c r="B8377" s="4" t="s">
        <v>8962</v>
      </c>
      <c r="C8377" s="5">
        <v>41489</v>
      </c>
      <c r="D8377" s="5">
        <v>41549</v>
      </c>
      <c r="E8377" s="4" t="s">
        <v>1410</v>
      </c>
      <c r="F8377" s="4" t="s">
        <v>8903</v>
      </c>
    </row>
    <row r="8378" spans="1:6" x14ac:dyDescent="0.25">
      <c r="A8378" s="4" t="str">
        <f>CONCATENATE("3071-0000-3368","")</f>
        <v>3071-0000-3368</v>
      </c>
      <c r="B8378" s="4" t="s">
        <v>1509</v>
      </c>
      <c r="C8378" s="5">
        <v>41489</v>
      </c>
      <c r="D8378" s="5">
        <v>41549</v>
      </c>
      <c r="E8378" s="4" t="s">
        <v>1410</v>
      </c>
      <c r="F8378" s="4" t="s">
        <v>1411</v>
      </c>
    </row>
    <row r="8379" spans="1:6" x14ac:dyDescent="0.25">
      <c r="A8379" s="4" t="str">
        <f>CONCATENATE("3071-0000-3515","")</f>
        <v>3071-0000-3515</v>
      </c>
      <c r="B8379" s="4" t="s">
        <v>1835</v>
      </c>
      <c r="C8379" s="5">
        <v>41489</v>
      </c>
      <c r="D8379" s="5">
        <v>41549</v>
      </c>
      <c r="E8379" s="4" t="s">
        <v>1410</v>
      </c>
      <c r="F8379" s="4" t="s">
        <v>1411</v>
      </c>
    </row>
    <row r="8380" spans="1:6" x14ac:dyDescent="0.25">
      <c r="A8380" s="4" t="str">
        <f>CONCATENATE("3071-0000-1046","")</f>
        <v>3071-0000-1046</v>
      </c>
      <c r="B8380" s="4" t="s">
        <v>2163</v>
      </c>
      <c r="C8380" s="5">
        <v>41489</v>
      </c>
      <c r="D8380" s="5">
        <v>41549</v>
      </c>
      <c r="E8380" s="4" t="s">
        <v>1857</v>
      </c>
      <c r="F8380" s="4" t="s">
        <v>1857</v>
      </c>
    </row>
    <row r="8381" spans="1:6" x14ac:dyDescent="0.25">
      <c r="A8381" s="4" t="str">
        <f>CONCATENATE("3071-0000-1948","")</f>
        <v>3071-0000-1948</v>
      </c>
      <c r="B8381" s="4" t="s">
        <v>3055</v>
      </c>
      <c r="C8381" s="5">
        <v>41489</v>
      </c>
      <c r="D8381" s="5">
        <v>41549</v>
      </c>
      <c r="E8381" s="4" t="s">
        <v>2944</v>
      </c>
      <c r="F8381" s="4" t="s">
        <v>2945</v>
      </c>
    </row>
    <row r="8382" spans="1:6" x14ac:dyDescent="0.25">
      <c r="A8382" s="4" t="str">
        <f>CONCATENATE("3071-0000-6125","")</f>
        <v>3071-0000-6125</v>
      </c>
      <c r="B8382" s="4" t="s">
        <v>7649</v>
      </c>
      <c r="C8382" s="5">
        <v>41489</v>
      </c>
      <c r="D8382" s="5">
        <v>41549</v>
      </c>
      <c r="E8382" s="4" t="s">
        <v>1410</v>
      </c>
      <c r="F8382" s="4" t="s">
        <v>1410</v>
      </c>
    </row>
    <row r="8383" spans="1:6" x14ac:dyDescent="0.25">
      <c r="A8383" s="4" t="str">
        <f>CONCATENATE("3071-0000-6079","")</f>
        <v>3071-0000-6079</v>
      </c>
      <c r="B8383" s="4" t="s">
        <v>7527</v>
      </c>
      <c r="C8383" s="5">
        <v>41489</v>
      </c>
      <c r="D8383" s="5">
        <v>41549</v>
      </c>
      <c r="E8383" s="4" t="s">
        <v>1410</v>
      </c>
      <c r="F8383" s="4" t="s">
        <v>1410</v>
      </c>
    </row>
    <row r="8384" spans="1:6" x14ac:dyDescent="0.25">
      <c r="A8384" s="4" t="str">
        <f>CONCATENATE("3071-0000-2654","")</f>
        <v>3071-0000-2654</v>
      </c>
      <c r="B8384" s="4" t="s">
        <v>3418</v>
      </c>
      <c r="C8384" s="5">
        <v>41489</v>
      </c>
      <c r="D8384" s="5">
        <v>41549</v>
      </c>
      <c r="E8384" s="4" t="s">
        <v>1857</v>
      </c>
      <c r="F8384" s="4" t="s">
        <v>3306</v>
      </c>
    </row>
    <row r="8385" spans="1:6" x14ac:dyDescent="0.25">
      <c r="A8385" s="4" t="str">
        <f>CONCATENATE("3071-0000-2641","")</f>
        <v>3071-0000-2641</v>
      </c>
      <c r="B8385" s="4" t="s">
        <v>3415</v>
      </c>
      <c r="C8385" s="5">
        <v>41489</v>
      </c>
      <c r="D8385" s="5">
        <v>41549</v>
      </c>
      <c r="E8385" s="4" t="s">
        <v>1857</v>
      </c>
      <c r="F8385" s="4" t="s">
        <v>3306</v>
      </c>
    </row>
    <row r="8386" spans="1:6" x14ac:dyDescent="0.25">
      <c r="A8386" s="4" t="str">
        <f>CONCATENATE("3071-0000-6319","")</f>
        <v>3071-0000-6319</v>
      </c>
      <c r="B8386" s="4" t="s">
        <v>7461</v>
      </c>
      <c r="C8386" s="5">
        <v>41489</v>
      </c>
      <c r="D8386" s="5">
        <v>41549</v>
      </c>
      <c r="E8386" s="4" t="s">
        <v>1410</v>
      </c>
      <c r="F8386" s="4" t="s">
        <v>1410</v>
      </c>
    </row>
    <row r="8387" spans="1:6" x14ac:dyDescent="0.25">
      <c r="A8387" s="4" t="str">
        <f>CONCATENATE("3071-0000-2058","")</f>
        <v>3071-0000-2058</v>
      </c>
      <c r="B8387" s="4" t="s">
        <v>3412</v>
      </c>
      <c r="C8387" s="5">
        <v>41489</v>
      </c>
      <c r="D8387" s="5">
        <v>41549</v>
      </c>
      <c r="E8387" s="4" t="s">
        <v>2944</v>
      </c>
      <c r="F8387" s="4" t="s">
        <v>2945</v>
      </c>
    </row>
    <row r="8388" spans="1:6" x14ac:dyDescent="0.25">
      <c r="A8388" s="4" t="str">
        <f>CONCATENATE("3071-0000-2451","")</f>
        <v>3071-0000-2451</v>
      </c>
      <c r="B8388" s="4" t="s">
        <v>3421</v>
      </c>
      <c r="C8388" s="5">
        <v>41489</v>
      </c>
      <c r="D8388" s="5">
        <v>41549</v>
      </c>
      <c r="E8388" s="4" t="s">
        <v>1857</v>
      </c>
      <c r="F8388" s="4" t="s">
        <v>3306</v>
      </c>
    </row>
    <row r="8389" spans="1:6" x14ac:dyDescent="0.25">
      <c r="A8389" s="4" t="str">
        <f>CONCATENATE("3071-0000-6077","")</f>
        <v>3071-0000-6077</v>
      </c>
      <c r="B8389" s="4" t="s">
        <v>7525</v>
      </c>
      <c r="C8389" s="5">
        <v>41489</v>
      </c>
      <c r="D8389" s="5">
        <v>41549</v>
      </c>
      <c r="E8389" s="4" t="s">
        <v>1410</v>
      </c>
      <c r="F8389" s="4" t="s">
        <v>1410</v>
      </c>
    </row>
    <row r="8390" spans="1:6" x14ac:dyDescent="0.25">
      <c r="A8390" s="4" t="str">
        <f>CONCATENATE("3071-0000-6075","")</f>
        <v>3071-0000-6075</v>
      </c>
      <c r="B8390" s="4" t="s">
        <v>7526</v>
      </c>
      <c r="C8390" s="5">
        <v>41489</v>
      </c>
      <c r="D8390" s="5">
        <v>41549</v>
      </c>
      <c r="E8390" s="4" t="s">
        <v>1410</v>
      </c>
      <c r="F8390" s="4" t="s">
        <v>1410</v>
      </c>
    </row>
    <row r="8391" spans="1:6" x14ac:dyDescent="0.25">
      <c r="A8391" s="4" t="str">
        <f>CONCATENATE("3071-0000-2410","")</f>
        <v>3071-0000-2410</v>
      </c>
      <c r="B8391" s="4" t="s">
        <v>3396</v>
      </c>
      <c r="C8391" s="5">
        <v>41489</v>
      </c>
      <c r="D8391" s="5">
        <v>41549</v>
      </c>
      <c r="E8391" s="4" t="s">
        <v>1857</v>
      </c>
      <c r="F8391" s="4" t="s">
        <v>3306</v>
      </c>
    </row>
    <row r="8392" spans="1:6" x14ac:dyDescent="0.25">
      <c r="A8392" s="4" t="str">
        <f>CONCATENATE("3071-0000-5674","")</f>
        <v>3071-0000-5674</v>
      </c>
      <c r="B8392" s="4" t="s">
        <v>7545</v>
      </c>
      <c r="C8392" s="5">
        <v>41489</v>
      </c>
      <c r="D8392" s="5">
        <v>41549</v>
      </c>
      <c r="E8392" s="4" t="s">
        <v>5185</v>
      </c>
      <c r="F8392" s="4" t="s">
        <v>5185</v>
      </c>
    </row>
    <row r="8393" spans="1:6" x14ac:dyDescent="0.25">
      <c r="A8393" s="4" t="str">
        <f>CONCATENATE("3071-0000-2280","")</f>
        <v>3071-0000-2280</v>
      </c>
      <c r="B8393" s="4" t="s">
        <v>3410</v>
      </c>
      <c r="C8393" s="5">
        <v>41489</v>
      </c>
      <c r="D8393" s="5">
        <v>41549</v>
      </c>
      <c r="E8393" s="4" t="s">
        <v>2944</v>
      </c>
      <c r="F8393" s="4" t="s">
        <v>2945</v>
      </c>
    </row>
    <row r="8394" spans="1:6" x14ac:dyDescent="0.25">
      <c r="A8394" s="4" t="str">
        <f>CONCATENATE("3071-0000-8875","")</f>
        <v>3071-0000-8875</v>
      </c>
      <c r="B8394" s="4" t="s">
        <v>6544</v>
      </c>
      <c r="C8394" s="5">
        <v>41489</v>
      </c>
      <c r="D8394" s="5">
        <v>41549</v>
      </c>
      <c r="E8394" s="4" t="s">
        <v>5185</v>
      </c>
      <c r="F8394" s="4" t="s">
        <v>5292</v>
      </c>
    </row>
    <row r="8395" spans="1:6" x14ac:dyDescent="0.25">
      <c r="A8395" s="4" t="str">
        <f>CONCATENATE("3071-0000-8742","")</f>
        <v>3071-0000-8742</v>
      </c>
      <c r="B8395" s="4" t="s">
        <v>6545</v>
      </c>
      <c r="C8395" s="5">
        <v>41489</v>
      </c>
      <c r="D8395" s="5">
        <v>41549</v>
      </c>
      <c r="E8395" s="4" t="s">
        <v>5185</v>
      </c>
      <c r="F8395" s="4" t="s">
        <v>5292</v>
      </c>
    </row>
    <row r="8396" spans="1:6" x14ac:dyDescent="0.25">
      <c r="A8396" s="4" t="str">
        <f>CONCATENATE("3071-0000-1246","")</f>
        <v>3071-0000-1246</v>
      </c>
      <c r="B8396" s="4" t="s">
        <v>2335</v>
      </c>
      <c r="C8396" s="5">
        <v>41489</v>
      </c>
      <c r="D8396" s="5">
        <v>41549</v>
      </c>
      <c r="E8396" s="4" t="s">
        <v>1381</v>
      </c>
      <c r="F8396" s="4" t="s">
        <v>2303</v>
      </c>
    </row>
    <row r="8397" spans="1:6" x14ac:dyDescent="0.25">
      <c r="A8397" s="4" t="str">
        <f>CONCATENATE("3071-0000-0897","")</f>
        <v>3071-0000-0897</v>
      </c>
      <c r="B8397" s="4" t="s">
        <v>1987</v>
      </c>
      <c r="C8397" s="5">
        <v>41489</v>
      </c>
      <c r="D8397" s="5">
        <v>41549</v>
      </c>
      <c r="E8397" s="4" t="s">
        <v>1857</v>
      </c>
      <c r="F8397" s="4" t="s">
        <v>1857</v>
      </c>
    </row>
    <row r="8398" spans="1:6" x14ac:dyDescent="0.25">
      <c r="A8398" s="4" t="str">
        <f>CONCATENATE("3071-0000-0829","")</f>
        <v>3071-0000-0829</v>
      </c>
      <c r="B8398" s="4" t="s">
        <v>1888</v>
      </c>
      <c r="C8398" s="5">
        <v>41489</v>
      </c>
      <c r="D8398" s="5">
        <v>41549</v>
      </c>
      <c r="E8398" s="4" t="s">
        <v>1857</v>
      </c>
      <c r="F8398" s="4" t="s">
        <v>1857</v>
      </c>
    </row>
    <row r="8399" spans="1:6" x14ac:dyDescent="0.25">
      <c r="A8399" s="4" t="str">
        <f>CONCATENATE("3071-0000-9187","")</f>
        <v>3071-0000-9187</v>
      </c>
      <c r="B8399" s="4" t="s">
        <v>6165</v>
      </c>
      <c r="C8399" s="5">
        <v>41489</v>
      </c>
      <c r="D8399" s="5">
        <v>41549</v>
      </c>
      <c r="E8399" s="4" t="s">
        <v>5185</v>
      </c>
      <c r="F8399" s="4" t="s">
        <v>5945</v>
      </c>
    </row>
    <row r="8400" spans="1:6" x14ac:dyDescent="0.25">
      <c r="A8400" s="4" t="str">
        <f>CONCATENATE("3071-0000-0882","")</f>
        <v>3071-0000-0882</v>
      </c>
      <c r="B8400" s="4" t="s">
        <v>2017</v>
      </c>
      <c r="C8400" s="5">
        <v>41489</v>
      </c>
      <c r="D8400" s="5">
        <v>41549</v>
      </c>
      <c r="E8400" s="4" t="s">
        <v>1857</v>
      </c>
      <c r="F8400" s="4" t="s">
        <v>1857</v>
      </c>
    </row>
    <row r="8401" spans="1:6" x14ac:dyDescent="0.25">
      <c r="A8401" s="4" t="str">
        <f>CONCATENATE("3071-0000-1089","")</f>
        <v>3071-0000-1089</v>
      </c>
      <c r="B8401" s="4" t="s">
        <v>2048</v>
      </c>
      <c r="C8401" s="5">
        <v>41489</v>
      </c>
      <c r="D8401" s="5">
        <v>41549</v>
      </c>
      <c r="E8401" s="4" t="s">
        <v>1857</v>
      </c>
      <c r="F8401" s="4" t="s">
        <v>1857</v>
      </c>
    </row>
    <row r="8402" spans="1:6" x14ac:dyDescent="0.25">
      <c r="A8402" s="4" t="str">
        <f>CONCATENATE("3071-0000-8461","")</f>
        <v>3071-0000-8461</v>
      </c>
      <c r="B8402" s="4" t="s">
        <v>6055</v>
      </c>
      <c r="C8402" s="5">
        <v>41489</v>
      </c>
      <c r="D8402" s="5">
        <v>41549</v>
      </c>
      <c r="E8402" s="4" t="s">
        <v>5185</v>
      </c>
      <c r="F8402" s="4" t="s">
        <v>5945</v>
      </c>
    </row>
    <row r="8403" spans="1:6" x14ac:dyDescent="0.25">
      <c r="A8403" s="4" t="str">
        <f>CONCATENATE("3071-0000-1520","")</f>
        <v>3071-0000-1520</v>
      </c>
      <c r="B8403" s="4" t="s">
        <v>2855</v>
      </c>
      <c r="C8403" s="5">
        <v>41489</v>
      </c>
      <c r="D8403" s="5">
        <v>41549</v>
      </c>
      <c r="E8403" s="4" t="s">
        <v>1381</v>
      </c>
      <c r="F8403" s="4" t="s">
        <v>2303</v>
      </c>
    </row>
    <row r="8404" spans="1:6" x14ac:dyDescent="0.25">
      <c r="A8404" s="4" t="str">
        <f>CONCATENATE("3071-0000-3294","")</f>
        <v>3071-0000-3294</v>
      </c>
      <c r="B8404" s="4" t="s">
        <v>1401</v>
      </c>
      <c r="C8404" s="5">
        <v>41489</v>
      </c>
      <c r="D8404" s="5">
        <v>41549</v>
      </c>
      <c r="E8404" s="4" t="s">
        <v>7</v>
      </c>
      <c r="F8404" s="4" t="s">
        <v>982</v>
      </c>
    </row>
    <row r="8405" spans="1:6" x14ac:dyDescent="0.25">
      <c r="A8405" s="4" t="str">
        <f>CONCATENATE("3071-0000-8577","")</f>
        <v>3071-0000-8577</v>
      </c>
      <c r="B8405" s="4" t="s">
        <v>6066</v>
      </c>
      <c r="C8405" s="5">
        <v>41489</v>
      </c>
      <c r="D8405" s="5">
        <v>41549</v>
      </c>
      <c r="E8405" s="4" t="s">
        <v>5185</v>
      </c>
      <c r="F8405" s="4" t="s">
        <v>5945</v>
      </c>
    </row>
    <row r="8406" spans="1:6" x14ac:dyDescent="0.25">
      <c r="A8406" s="4" t="str">
        <f>CONCATENATE("3071-0000-9280","")</f>
        <v>3071-0000-9280</v>
      </c>
      <c r="B8406" s="4" t="s">
        <v>8351</v>
      </c>
      <c r="C8406" s="5">
        <v>41489</v>
      </c>
      <c r="D8406" s="5">
        <v>41549</v>
      </c>
      <c r="E8406" s="4" t="s">
        <v>5185</v>
      </c>
      <c r="F8406" s="4" t="s">
        <v>5185</v>
      </c>
    </row>
    <row r="8407" spans="1:6" x14ac:dyDescent="0.25">
      <c r="A8407" s="4" t="str">
        <f>CONCATENATE("3071-0000-8472","")</f>
        <v>3071-0000-8472</v>
      </c>
      <c r="B8407" s="4" t="s">
        <v>6067</v>
      </c>
      <c r="C8407" s="5">
        <v>41489</v>
      </c>
      <c r="D8407" s="5">
        <v>41549</v>
      </c>
      <c r="E8407" s="4" t="s">
        <v>5185</v>
      </c>
      <c r="F8407" s="4" t="s">
        <v>5945</v>
      </c>
    </row>
    <row r="8408" spans="1:6" x14ac:dyDescent="0.25">
      <c r="A8408" s="4" t="str">
        <f>CONCATENATE("3071-0000-1154","")</f>
        <v>3071-0000-1154</v>
      </c>
      <c r="B8408" s="4" t="s">
        <v>2045</v>
      </c>
      <c r="C8408" s="5">
        <v>41489</v>
      </c>
      <c r="D8408" s="5">
        <v>41549</v>
      </c>
      <c r="E8408" s="4" t="s">
        <v>1857</v>
      </c>
      <c r="F8408" s="4" t="s">
        <v>1857</v>
      </c>
    </row>
    <row r="8409" spans="1:6" x14ac:dyDescent="0.25">
      <c r="A8409" s="4" t="str">
        <f>CONCATENATE("3071-0000-1249","")</f>
        <v>3071-0000-1249</v>
      </c>
      <c r="B8409" s="4" t="s">
        <v>2334</v>
      </c>
      <c r="C8409" s="5">
        <v>41489</v>
      </c>
      <c r="D8409" s="5">
        <v>41549</v>
      </c>
      <c r="E8409" s="4" t="s">
        <v>1381</v>
      </c>
      <c r="F8409" s="4" t="s">
        <v>2303</v>
      </c>
    </row>
    <row r="8410" spans="1:6" x14ac:dyDescent="0.25">
      <c r="A8410" s="4" t="str">
        <f>CONCATENATE("3071-0000-1254","")</f>
        <v>3071-0000-1254</v>
      </c>
      <c r="B8410" s="4" t="s">
        <v>2342</v>
      </c>
      <c r="C8410" s="5">
        <v>41489</v>
      </c>
      <c r="D8410" s="5">
        <v>41549</v>
      </c>
      <c r="E8410" s="4" t="s">
        <v>1381</v>
      </c>
      <c r="F8410" s="4" t="s">
        <v>2303</v>
      </c>
    </row>
    <row r="8411" spans="1:6" x14ac:dyDescent="0.25">
      <c r="A8411" s="4" t="str">
        <f>CONCATENATE("3071-0000-1503","")</f>
        <v>3071-0000-1503</v>
      </c>
      <c r="B8411" s="4" t="s">
        <v>2801</v>
      </c>
      <c r="C8411" s="5">
        <v>41489</v>
      </c>
      <c r="D8411" s="5">
        <v>41549</v>
      </c>
      <c r="E8411" s="4" t="s">
        <v>1381</v>
      </c>
      <c r="F8411" s="4" t="s">
        <v>2303</v>
      </c>
    </row>
    <row r="8412" spans="1:6" x14ac:dyDescent="0.25">
      <c r="A8412" s="4" t="str">
        <f>CONCATENATE("3071-0000-1733","")</f>
        <v>3071-0000-1733</v>
      </c>
      <c r="B8412" s="4" t="s">
        <v>2794</v>
      </c>
      <c r="C8412" s="5">
        <v>41489</v>
      </c>
      <c r="D8412" s="5">
        <v>41549</v>
      </c>
      <c r="E8412" s="4" t="s">
        <v>1381</v>
      </c>
      <c r="F8412" s="4" t="s">
        <v>2533</v>
      </c>
    </row>
    <row r="8413" spans="1:6" x14ac:dyDescent="0.25">
      <c r="A8413" s="4" t="str">
        <f>CONCATENATE("3071-0000-2904","")</f>
        <v>3071-0000-2904</v>
      </c>
      <c r="B8413" s="4" t="s">
        <v>933</v>
      </c>
      <c r="C8413" s="5">
        <v>41489</v>
      </c>
      <c r="D8413" s="5">
        <v>41549</v>
      </c>
      <c r="E8413" s="4" t="s">
        <v>7</v>
      </c>
      <c r="F8413" s="4" t="s">
        <v>808</v>
      </c>
    </row>
    <row r="8414" spans="1:6" x14ac:dyDescent="0.25">
      <c r="A8414" s="4" t="str">
        <f>CONCATENATE("3071-0000-1281","")</f>
        <v>3071-0000-1281</v>
      </c>
      <c r="B8414" s="4" t="s">
        <v>2387</v>
      </c>
      <c r="C8414" s="5">
        <v>41489</v>
      </c>
      <c r="D8414" s="5">
        <v>41549</v>
      </c>
      <c r="E8414" s="4" t="s">
        <v>1381</v>
      </c>
      <c r="F8414" s="4" t="s">
        <v>2303</v>
      </c>
    </row>
    <row r="8415" spans="1:6" x14ac:dyDescent="0.25">
      <c r="A8415" s="4" t="str">
        <f>CONCATENATE("3071-0000-2959","")</f>
        <v>3071-0000-2959</v>
      </c>
      <c r="B8415" s="4" t="s">
        <v>924</v>
      </c>
      <c r="C8415" s="5">
        <v>41489</v>
      </c>
      <c r="D8415" s="5">
        <v>41549</v>
      </c>
      <c r="E8415" s="4" t="s">
        <v>7</v>
      </c>
      <c r="F8415" s="4" t="s">
        <v>808</v>
      </c>
    </row>
    <row r="8416" spans="1:6" x14ac:dyDescent="0.25">
      <c r="A8416" s="4" t="str">
        <f>CONCATENATE("3071-0000-0014","")</f>
        <v>3071-0000-0014</v>
      </c>
      <c r="B8416" s="4" t="s">
        <v>28</v>
      </c>
      <c r="C8416" s="5">
        <v>41489</v>
      </c>
      <c r="D8416" s="5">
        <v>41549</v>
      </c>
      <c r="E8416" s="4" t="s">
        <v>7</v>
      </c>
      <c r="F8416" s="4" t="s">
        <v>7</v>
      </c>
    </row>
    <row r="8417" spans="1:6" x14ac:dyDescent="0.25">
      <c r="A8417" s="4" t="str">
        <f>CONCATENATE("3071-0000-1431","")</f>
        <v>3071-0000-1431</v>
      </c>
      <c r="B8417" s="4" t="s">
        <v>2661</v>
      </c>
      <c r="C8417" s="5">
        <v>41489</v>
      </c>
      <c r="D8417" s="5">
        <v>41549</v>
      </c>
      <c r="E8417" s="4" t="s">
        <v>1381</v>
      </c>
      <c r="F8417" s="4" t="s">
        <v>2303</v>
      </c>
    </row>
    <row r="8418" spans="1:6" x14ac:dyDescent="0.25">
      <c r="A8418" s="4" t="str">
        <f>CONCATENATE("3071-0000-6360","")</f>
        <v>3071-0000-6360</v>
      </c>
      <c r="B8418" s="4" t="s">
        <v>7881</v>
      </c>
      <c r="C8418" s="5">
        <v>41489</v>
      </c>
      <c r="D8418" s="5">
        <v>41549</v>
      </c>
      <c r="E8418" s="4" t="s">
        <v>5185</v>
      </c>
      <c r="F8418" s="4" t="s">
        <v>5185</v>
      </c>
    </row>
    <row r="8419" spans="1:6" x14ac:dyDescent="0.25">
      <c r="A8419" s="4" t="str">
        <f>CONCATENATE("3071-0000-6352","")</f>
        <v>3071-0000-6352</v>
      </c>
      <c r="B8419" s="4" t="s">
        <v>7871</v>
      </c>
      <c r="C8419" s="5">
        <v>41489</v>
      </c>
      <c r="D8419" s="5">
        <v>41549</v>
      </c>
      <c r="E8419" s="4" t="s">
        <v>5185</v>
      </c>
      <c r="F8419" s="4" t="s">
        <v>5185</v>
      </c>
    </row>
    <row r="8420" spans="1:6" x14ac:dyDescent="0.25">
      <c r="A8420" s="4" t="str">
        <f>CONCATENATE("3071-0000-7533","")</f>
        <v>3071-0000-7533</v>
      </c>
      <c r="B8420" s="4" t="s">
        <v>4298</v>
      </c>
      <c r="C8420" s="5">
        <v>41489</v>
      </c>
      <c r="D8420" s="5">
        <v>41549</v>
      </c>
      <c r="E8420" s="4" t="s">
        <v>1410</v>
      </c>
      <c r="F8420" s="4" t="s">
        <v>1410</v>
      </c>
    </row>
    <row r="8421" spans="1:6" x14ac:dyDescent="0.25">
      <c r="A8421" s="4" t="str">
        <f>CONCATENATE("3071-0000-3426","")</f>
        <v>3071-0000-3426</v>
      </c>
      <c r="B8421" s="4" t="s">
        <v>1692</v>
      </c>
      <c r="C8421" s="5">
        <v>41489</v>
      </c>
      <c r="D8421" s="5">
        <v>41549</v>
      </c>
      <c r="E8421" s="4" t="s">
        <v>1410</v>
      </c>
      <c r="F8421" s="4" t="s">
        <v>1411</v>
      </c>
    </row>
    <row r="8422" spans="1:6" x14ac:dyDescent="0.25">
      <c r="A8422" s="4" t="str">
        <f>CONCATENATE("3071-0000-4110","")</f>
        <v>3071-0000-4110</v>
      </c>
      <c r="B8422" s="4" t="s">
        <v>4148</v>
      </c>
      <c r="C8422" s="5">
        <v>41489</v>
      </c>
      <c r="D8422" s="5">
        <v>41549</v>
      </c>
      <c r="E8422" s="4" t="s">
        <v>7</v>
      </c>
      <c r="F8422" s="4" t="s">
        <v>1419</v>
      </c>
    </row>
    <row r="8423" spans="1:6" x14ac:dyDescent="0.25">
      <c r="A8423" s="4" t="str">
        <f>CONCATENATE("3071-0000-4203","")</f>
        <v>3071-0000-4203</v>
      </c>
      <c r="B8423" s="4" t="s">
        <v>4150</v>
      </c>
      <c r="C8423" s="5">
        <v>41489</v>
      </c>
      <c r="D8423" s="5">
        <v>41549</v>
      </c>
      <c r="E8423" s="4" t="s">
        <v>7</v>
      </c>
      <c r="F8423" s="4" t="s">
        <v>1419</v>
      </c>
    </row>
    <row r="8424" spans="1:6" x14ac:dyDescent="0.25">
      <c r="A8424" s="4" t="str">
        <f>CONCATENATE("3071-0000-4070","")</f>
        <v>3071-0000-4070</v>
      </c>
      <c r="B8424" s="4" t="s">
        <v>3955</v>
      </c>
      <c r="C8424" s="5">
        <v>41489</v>
      </c>
      <c r="D8424" s="5">
        <v>41549</v>
      </c>
      <c r="E8424" s="4" t="s">
        <v>7</v>
      </c>
      <c r="F8424" s="4" t="s">
        <v>1419</v>
      </c>
    </row>
    <row r="8425" spans="1:6" x14ac:dyDescent="0.25">
      <c r="A8425" s="4" t="str">
        <f>CONCATENATE("3071-0000-2885","")</f>
        <v>3071-0000-2885</v>
      </c>
      <c r="B8425" s="4" t="s">
        <v>1160</v>
      </c>
      <c r="C8425" s="5">
        <v>41489</v>
      </c>
      <c r="D8425" s="5">
        <v>41549</v>
      </c>
      <c r="E8425" s="4" t="s">
        <v>7</v>
      </c>
      <c r="F8425" s="4" t="s">
        <v>808</v>
      </c>
    </row>
    <row r="8426" spans="1:6" x14ac:dyDescent="0.25">
      <c r="A8426" s="4" t="str">
        <f>CONCATENATE("3071-0000-3571","")</f>
        <v>3071-0000-3571</v>
      </c>
      <c r="B8426" s="4" t="s">
        <v>1700</v>
      </c>
      <c r="C8426" s="5">
        <v>41489</v>
      </c>
      <c r="D8426" s="5">
        <v>41549</v>
      </c>
      <c r="E8426" s="4" t="s">
        <v>1410</v>
      </c>
      <c r="F8426" s="4" t="s">
        <v>1411</v>
      </c>
    </row>
    <row r="8427" spans="1:6" x14ac:dyDescent="0.25">
      <c r="A8427" s="4" t="str">
        <f>CONCATENATE("3071-0000-3433","")</f>
        <v>3071-0000-3433</v>
      </c>
      <c r="B8427" s="4" t="s">
        <v>1710</v>
      </c>
      <c r="C8427" s="5">
        <v>41489</v>
      </c>
      <c r="D8427" s="5">
        <v>41549</v>
      </c>
      <c r="E8427" s="4" t="s">
        <v>1410</v>
      </c>
      <c r="F8427" s="4" t="s">
        <v>1411</v>
      </c>
    </row>
    <row r="8428" spans="1:6" x14ac:dyDescent="0.25">
      <c r="A8428" s="4" t="str">
        <f>CONCATENATE("3071-0000-3503","")</f>
        <v>3071-0000-3503</v>
      </c>
      <c r="B8428" s="4" t="s">
        <v>1822</v>
      </c>
      <c r="C8428" s="5">
        <v>41489</v>
      </c>
      <c r="D8428" s="5">
        <v>41549</v>
      </c>
      <c r="E8428" s="4" t="s">
        <v>1410</v>
      </c>
      <c r="F8428" s="4" t="s">
        <v>1411</v>
      </c>
    </row>
    <row r="8429" spans="1:6" x14ac:dyDescent="0.25">
      <c r="A8429" s="4" t="str">
        <f>CONCATENATE("3071-0000-1090","")</f>
        <v>3071-0000-1090</v>
      </c>
      <c r="B8429" s="4" t="s">
        <v>2105</v>
      </c>
      <c r="C8429" s="5">
        <v>41489</v>
      </c>
      <c r="D8429" s="5">
        <v>41549</v>
      </c>
      <c r="E8429" s="4" t="s">
        <v>1857</v>
      </c>
      <c r="F8429" s="4" t="s">
        <v>1857</v>
      </c>
    </row>
    <row r="8430" spans="1:6" x14ac:dyDescent="0.25">
      <c r="A8430" s="4" t="str">
        <f>CONCATENATE("3071-0000-1003","")</f>
        <v>3071-0000-1003</v>
      </c>
      <c r="B8430" s="4" t="s">
        <v>2225</v>
      </c>
      <c r="C8430" s="5">
        <v>41489</v>
      </c>
      <c r="D8430" s="5">
        <v>41549</v>
      </c>
      <c r="E8430" s="4" t="s">
        <v>1857</v>
      </c>
      <c r="F8430" s="4" t="s">
        <v>1857</v>
      </c>
    </row>
    <row r="8431" spans="1:6" x14ac:dyDescent="0.25">
      <c r="A8431" s="4" t="str">
        <f>CONCATENATE("3071-0000-1039","")</f>
        <v>3071-0000-1039</v>
      </c>
      <c r="B8431" s="4" t="s">
        <v>2271</v>
      </c>
      <c r="C8431" s="5">
        <v>41489</v>
      </c>
      <c r="D8431" s="5">
        <v>41549</v>
      </c>
      <c r="E8431" s="4" t="s">
        <v>1857</v>
      </c>
      <c r="F8431" s="4" t="s">
        <v>1857</v>
      </c>
    </row>
    <row r="8432" spans="1:6" x14ac:dyDescent="0.25">
      <c r="A8432" s="4" t="str">
        <f>CONCATENATE("3071-0000-1340","")</f>
        <v>3071-0000-1340</v>
      </c>
      <c r="B8432" s="4" t="s">
        <v>2474</v>
      </c>
      <c r="C8432" s="5">
        <v>41489</v>
      </c>
      <c r="D8432" s="5">
        <v>41549</v>
      </c>
      <c r="E8432" s="4" t="s">
        <v>1381</v>
      </c>
      <c r="F8432" s="4" t="s">
        <v>2303</v>
      </c>
    </row>
    <row r="8433" spans="1:6" x14ac:dyDescent="0.25">
      <c r="A8433" s="4" t="str">
        <f>CONCATENATE("3071-0000-1318","")</f>
        <v>3071-0000-1318</v>
      </c>
      <c r="B8433" s="4" t="s">
        <v>2477</v>
      </c>
      <c r="C8433" s="5">
        <v>41489</v>
      </c>
      <c r="D8433" s="5">
        <v>41549</v>
      </c>
      <c r="E8433" s="4" t="s">
        <v>1381</v>
      </c>
      <c r="F8433" s="4" t="s">
        <v>2303</v>
      </c>
    </row>
    <row r="8434" spans="1:6" x14ac:dyDescent="0.25">
      <c r="A8434" s="4" t="str">
        <f>CONCATENATE("3071-0000-1333","")</f>
        <v>3071-0000-1333</v>
      </c>
      <c r="B8434" s="4" t="s">
        <v>2462</v>
      </c>
      <c r="C8434" s="5">
        <v>41489</v>
      </c>
      <c r="D8434" s="5">
        <v>41549</v>
      </c>
      <c r="E8434" s="4" t="s">
        <v>1381</v>
      </c>
      <c r="F8434" s="4" t="s">
        <v>2303</v>
      </c>
    </row>
    <row r="8435" spans="1:6" x14ac:dyDescent="0.25">
      <c r="A8435" s="4" t="str">
        <f>CONCATENATE("3071-0000-1109","")</f>
        <v>3071-0000-1109</v>
      </c>
      <c r="B8435" s="4" t="s">
        <v>2300</v>
      </c>
      <c r="C8435" s="5">
        <v>41489</v>
      </c>
      <c r="D8435" s="5">
        <v>41549</v>
      </c>
      <c r="E8435" s="4" t="s">
        <v>1381</v>
      </c>
      <c r="F8435" s="4" t="s">
        <v>2259</v>
      </c>
    </row>
    <row r="8436" spans="1:6" x14ac:dyDescent="0.25">
      <c r="A8436" s="4" t="str">
        <f>CONCATENATE("3071-0000-4129","")</f>
        <v>3071-0000-4129</v>
      </c>
      <c r="B8436" s="4" t="s">
        <v>4256</v>
      </c>
      <c r="C8436" s="5">
        <v>41489</v>
      </c>
      <c r="D8436" s="5">
        <v>41549</v>
      </c>
      <c r="E8436" s="4" t="s">
        <v>7</v>
      </c>
      <c r="F8436" s="4" t="s">
        <v>1419</v>
      </c>
    </row>
    <row r="8437" spans="1:6" x14ac:dyDescent="0.25">
      <c r="A8437" s="4" t="str">
        <f>CONCATENATE("3071-0000-0379","")</f>
        <v>3071-0000-0379</v>
      </c>
      <c r="B8437" s="4" t="s">
        <v>214</v>
      </c>
      <c r="C8437" s="5">
        <v>41489</v>
      </c>
      <c r="D8437" s="5">
        <v>41549</v>
      </c>
      <c r="E8437" s="4" t="s">
        <v>7</v>
      </c>
      <c r="F8437" s="4" t="s">
        <v>7</v>
      </c>
    </row>
    <row r="8438" spans="1:6" x14ac:dyDescent="0.25">
      <c r="A8438" s="4" t="str">
        <f>CONCATENATE("3071-0000-0783","")</f>
        <v>3071-0000-0783</v>
      </c>
      <c r="B8438" s="4" t="s">
        <v>216</v>
      </c>
      <c r="C8438" s="5">
        <v>41489</v>
      </c>
      <c r="D8438" s="5">
        <v>41549</v>
      </c>
      <c r="E8438" s="4" t="s">
        <v>7</v>
      </c>
      <c r="F8438" s="4" t="s">
        <v>7</v>
      </c>
    </row>
    <row r="8439" spans="1:6" x14ac:dyDescent="0.25">
      <c r="A8439" s="4" t="str">
        <f>CONCATENATE("3071-0000-4956","")</f>
        <v>3071-0000-4956</v>
      </c>
      <c r="B8439" s="4" t="s">
        <v>9159</v>
      </c>
      <c r="C8439" s="5">
        <v>41489</v>
      </c>
      <c r="D8439" s="5">
        <v>41549</v>
      </c>
      <c r="E8439" s="4" t="s">
        <v>7069</v>
      </c>
      <c r="F8439" s="4" t="s">
        <v>8783</v>
      </c>
    </row>
    <row r="8440" spans="1:6" x14ac:dyDescent="0.25">
      <c r="A8440" s="4" t="str">
        <f>CONCATENATE("3071-0000-5432","")</f>
        <v>3071-0000-5432</v>
      </c>
      <c r="B8440" s="4" t="s">
        <v>6627</v>
      </c>
      <c r="C8440" s="5">
        <v>41489</v>
      </c>
      <c r="D8440" s="5">
        <v>41549</v>
      </c>
      <c r="E8440" s="4" t="s">
        <v>1410</v>
      </c>
      <c r="F8440" s="4" t="s">
        <v>4616</v>
      </c>
    </row>
    <row r="8441" spans="1:6" x14ac:dyDescent="0.25">
      <c r="A8441" s="4" t="str">
        <f>CONCATENATE("3071-0000-5562","")</f>
        <v>3071-0000-5562</v>
      </c>
      <c r="B8441" s="4" t="s">
        <v>7404</v>
      </c>
      <c r="C8441" s="5">
        <v>41489</v>
      </c>
      <c r="D8441" s="5">
        <v>41549</v>
      </c>
      <c r="E8441" s="4" t="s">
        <v>5185</v>
      </c>
      <c r="F8441" s="4" t="s">
        <v>5185</v>
      </c>
    </row>
    <row r="8442" spans="1:6" x14ac:dyDescent="0.25">
      <c r="A8442" s="4" t="str">
        <f>CONCATENATE("3071-0000-6215","")</f>
        <v>3071-0000-6215</v>
      </c>
      <c r="B8442" s="4" t="s">
        <v>7573</v>
      </c>
      <c r="C8442" s="5">
        <v>41489</v>
      </c>
      <c r="D8442" s="5">
        <v>41549</v>
      </c>
      <c r="E8442" s="4" t="s">
        <v>1410</v>
      </c>
      <c r="F8442" s="4" t="s">
        <v>1410</v>
      </c>
    </row>
    <row r="8443" spans="1:6" x14ac:dyDescent="0.25">
      <c r="A8443" s="4" t="str">
        <f>CONCATENATE("3071-0000-5950","")</f>
        <v>3071-0000-5950</v>
      </c>
      <c r="B8443" s="4" t="s">
        <v>7302</v>
      </c>
      <c r="C8443" s="5">
        <v>41489</v>
      </c>
      <c r="D8443" s="5">
        <v>41549</v>
      </c>
      <c r="E8443" s="4" t="s">
        <v>5185</v>
      </c>
      <c r="F8443" s="4" t="s">
        <v>5185</v>
      </c>
    </row>
    <row r="8444" spans="1:6" x14ac:dyDescent="0.25">
      <c r="A8444" s="4" t="str">
        <f>CONCATENATE("3071-0000-5883","")</f>
        <v>3071-0000-5883</v>
      </c>
      <c r="B8444" s="4" t="s">
        <v>7565</v>
      </c>
      <c r="C8444" s="5">
        <v>41489</v>
      </c>
      <c r="D8444" s="5">
        <v>41549</v>
      </c>
      <c r="E8444" s="4" t="s">
        <v>5185</v>
      </c>
      <c r="F8444" s="4" t="s">
        <v>5185</v>
      </c>
    </row>
    <row r="8445" spans="1:6" x14ac:dyDescent="0.25">
      <c r="A8445" s="4" t="str">
        <f>CONCATENATE("3071-0000-7715","")</f>
        <v>3071-0000-7715</v>
      </c>
      <c r="B8445" s="4" t="s">
        <v>4517</v>
      </c>
      <c r="C8445" s="5">
        <v>41489</v>
      </c>
      <c r="D8445" s="5">
        <v>41549</v>
      </c>
      <c r="E8445" s="4" t="s">
        <v>1410</v>
      </c>
      <c r="F8445" s="4" t="s">
        <v>1410</v>
      </c>
    </row>
    <row r="8446" spans="1:6" x14ac:dyDescent="0.25">
      <c r="A8446" s="4" t="str">
        <f>CONCATENATE("3071-0000-0756","")</f>
        <v>3071-0000-0756</v>
      </c>
      <c r="B8446" s="4" t="s">
        <v>168</v>
      </c>
      <c r="C8446" s="5">
        <v>41489</v>
      </c>
      <c r="D8446" s="5">
        <v>41549</v>
      </c>
      <c r="E8446" s="4" t="s">
        <v>7</v>
      </c>
      <c r="F8446" s="4" t="s">
        <v>7</v>
      </c>
    </row>
    <row r="8447" spans="1:6" x14ac:dyDescent="0.25">
      <c r="A8447" s="4" t="str">
        <f>CONCATENATE("3071-0000-4908","")</f>
        <v>3071-0000-4908</v>
      </c>
      <c r="B8447" s="4" t="s">
        <v>8748</v>
      </c>
      <c r="C8447" s="5">
        <v>41489</v>
      </c>
      <c r="D8447" s="5">
        <v>41549</v>
      </c>
      <c r="E8447" s="4" t="s">
        <v>1410</v>
      </c>
      <c r="F8447" s="4" t="s">
        <v>8696</v>
      </c>
    </row>
    <row r="8448" spans="1:6" x14ac:dyDescent="0.25">
      <c r="A8448" s="4" t="str">
        <f>CONCATENATE("3071-0000-5208","")</f>
        <v>3071-0000-5208</v>
      </c>
      <c r="B8448" s="4" t="s">
        <v>8736</v>
      </c>
      <c r="C8448" s="5">
        <v>41489</v>
      </c>
      <c r="D8448" s="5">
        <v>41549</v>
      </c>
      <c r="E8448" s="4" t="s">
        <v>1410</v>
      </c>
      <c r="F8448" s="4" t="s">
        <v>8696</v>
      </c>
    </row>
    <row r="8449" spans="1:6" x14ac:dyDescent="0.25">
      <c r="A8449" s="4" t="str">
        <f>CONCATENATE("3071-0000-4951","")</f>
        <v>3071-0000-4951</v>
      </c>
      <c r="B8449" s="4" t="s">
        <v>8752</v>
      </c>
      <c r="C8449" s="5">
        <v>41489</v>
      </c>
      <c r="D8449" s="5">
        <v>41549</v>
      </c>
      <c r="E8449" s="4" t="s">
        <v>1410</v>
      </c>
      <c r="F8449" s="4" t="s">
        <v>8696</v>
      </c>
    </row>
    <row r="8450" spans="1:6" x14ac:dyDescent="0.25">
      <c r="A8450" s="4" t="str">
        <f>CONCATENATE("3071-0000-4947","")</f>
        <v>3071-0000-4947</v>
      </c>
      <c r="B8450" s="4" t="s">
        <v>8714</v>
      </c>
      <c r="C8450" s="5">
        <v>41489</v>
      </c>
      <c r="D8450" s="5">
        <v>41549</v>
      </c>
      <c r="E8450" s="4" t="s">
        <v>1410</v>
      </c>
      <c r="F8450" s="4" t="s">
        <v>8696</v>
      </c>
    </row>
    <row r="8451" spans="1:6" x14ac:dyDescent="0.25">
      <c r="A8451" s="4" t="str">
        <f>CONCATENATE("3071-0000-4819","")</f>
        <v>3071-0000-4819</v>
      </c>
      <c r="B8451" s="4" t="s">
        <v>8907</v>
      </c>
      <c r="C8451" s="5">
        <v>41489</v>
      </c>
      <c r="D8451" s="5">
        <v>41549</v>
      </c>
      <c r="E8451" s="4" t="s">
        <v>1410</v>
      </c>
      <c r="F8451" s="4" t="s">
        <v>8696</v>
      </c>
    </row>
    <row r="8452" spans="1:6" x14ac:dyDescent="0.25">
      <c r="A8452" s="4" t="str">
        <f>CONCATENATE("3071-0000-0283","")</f>
        <v>3071-0000-0283</v>
      </c>
      <c r="B8452" s="4" t="s">
        <v>675</v>
      </c>
      <c r="C8452" s="5">
        <v>41489</v>
      </c>
      <c r="D8452" s="5">
        <v>41549</v>
      </c>
      <c r="E8452" s="4" t="s">
        <v>7</v>
      </c>
      <c r="F8452" s="4" t="s">
        <v>7</v>
      </c>
    </row>
    <row r="8453" spans="1:6" x14ac:dyDescent="0.25">
      <c r="A8453" s="4" t="str">
        <f>CONCATENATE("3071-0000-1610","")</f>
        <v>3071-0000-1610</v>
      </c>
      <c r="B8453" s="4" t="s">
        <v>2850</v>
      </c>
      <c r="C8453" s="5">
        <v>41489</v>
      </c>
      <c r="D8453" s="5">
        <v>41549</v>
      </c>
      <c r="E8453" s="4" t="s">
        <v>1381</v>
      </c>
      <c r="F8453" s="4" t="s">
        <v>2303</v>
      </c>
    </row>
    <row r="8454" spans="1:6" x14ac:dyDescent="0.25">
      <c r="A8454" s="4" t="str">
        <f>CONCATENATE("3071-0000-3199","")</f>
        <v>3071-0000-3199</v>
      </c>
      <c r="B8454" s="4" t="s">
        <v>1245</v>
      </c>
      <c r="C8454" s="5">
        <v>41489</v>
      </c>
      <c r="D8454" s="5">
        <v>41549</v>
      </c>
      <c r="E8454" s="4" t="s">
        <v>7</v>
      </c>
      <c r="F8454" s="4" t="s">
        <v>808</v>
      </c>
    </row>
    <row r="8455" spans="1:6" x14ac:dyDescent="0.25">
      <c r="A8455" s="4" t="str">
        <f>CONCATENATE("3071-0000-1782","")</f>
        <v>3071-0000-1782</v>
      </c>
      <c r="B8455" s="4" t="s">
        <v>2318</v>
      </c>
      <c r="C8455" s="5">
        <v>41489</v>
      </c>
      <c r="D8455" s="5">
        <v>41549</v>
      </c>
      <c r="E8455" s="4" t="s">
        <v>1381</v>
      </c>
      <c r="F8455" s="4" t="s">
        <v>2301</v>
      </c>
    </row>
    <row r="8456" spans="1:6" x14ac:dyDescent="0.25">
      <c r="A8456" s="4" t="str">
        <f>CONCATENATE("3071-0000-4949","")</f>
        <v>3071-0000-4949</v>
      </c>
      <c r="B8456" s="4" t="s">
        <v>8786</v>
      </c>
      <c r="C8456" s="5">
        <v>41489</v>
      </c>
      <c r="D8456" s="5">
        <v>41549</v>
      </c>
      <c r="E8456" s="4" t="s">
        <v>7069</v>
      </c>
      <c r="F8456" s="4" t="s">
        <v>8783</v>
      </c>
    </row>
    <row r="8457" spans="1:6" x14ac:dyDescent="0.25">
      <c r="A8457" s="4" t="str">
        <f>CONCATENATE("3071-0000-8493","")</f>
        <v>3071-0000-8493</v>
      </c>
      <c r="B8457" s="4" t="s">
        <v>6030</v>
      </c>
      <c r="C8457" s="5">
        <v>41489</v>
      </c>
      <c r="D8457" s="5">
        <v>41549</v>
      </c>
      <c r="E8457" s="4" t="s">
        <v>5185</v>
      </c>
      <c r="F8457" s="4" t="s">
        <v>5945</v>
      </c>
    </row>
    <row r="8458" spans="1:6" x14ac:dyDescent="0.25">
      <c r="A8458" s="4" t="str">
        <f>CONCATENATE("3071-0000-0328","")</f>
        <v>3071-0000-0328</v>
      </c>
      <c r="B8458" s="4" t="s">
        <v>430</v>
      </c>
      <c r="C8458" s="5">
        <v>41489</v>
      </c>
      <c r="D8458" s="5">
        <v>41549</v>
      </c>
      <c r="E8458" s="4" t="s">
        <v>7</v>
      </c>
      <c r="F8458" s="4" t="s">
        <v>7</v>
      </c>
    </row>
    <row r="8459" spans="1:6" x14ac:dyDescent="0.25">
      <c r="A8459" s="4" t="str">
        <f>CONCATENATE("3071-0000-8252","")</f>
        <v>3071-0000-8252</v>
      </c>
      <c r="B8459" s="4" t="s">
        <v>5531</v>
      </c>
      <c r="C8459" s="5">
        <v>41489</v>
      </c>
      <c r="D8459" s="5">
        <v>41549</v>
      </c>
      <c r="E8459" s="4" t="s">
        <v>5185</v>
      </c>
      <c r="F8459" s="4" t="s">
        <v>5185</v>
      </c>
    </row>
    <row r="8460" spans="1:6" x14ac:dyDescent="0.25">
      <c r="A8460" s="4" t="str">
        <f>CONCATENATE("3071-0000-0229","")</f>
        <v>3071-0000-0229</v>
      </c>
      <c r="B8460" s="4" t="s">
        <v>479</v>
      </c>
      <c r="C8460" s="5">
        <v>41489</v>
      </c>
      <c r="D8460" s="5">
        <v>41549</v>
      </c>
      <c r="E8460" s="4" t="s">
        <v>7</v>
      </c>
      <c r="F8460" s="4" t="s">
        <v>7</v>
      </c>
    </row>
    <row r="8461" spans="1:6" x14ac:dyDescent="0.25">
      <c r="A8461" s="4" t="str">
        <f>CONCATENATE("3071-0000-4913","")</f>
        <v>3071-0000-4913</v>
      </c>
      <c r="B8461" s="4" t="s">
        <v>8788</v>
      </c>
      <c r="C8461" s="5">
        <v>41489</v>
      </c>
      <c r="D8461" s="5">
        <v>41549</v>
      </c>
      <c r="E8461" s="4" t="s">
        <v>7069</v>
      </c>
      <c r="F8461" s="4" t="s">
        <v>8783</v>
      </c>
    </row>
    <row r="8462" spans="1:6" x14ac:dyDescent="0.25">
      <c r="A8462" s="4" t="str">
        <f>CONCATENATE("3071-0000-4234","")</f>
        <v>3071-0000-4234</v>
      </c>
      <c r="B8462" s="4" t="s">
        <v>8723</v>
      </c>
      <c r="C8462" s="5">
        <v>41489</v>
      </c>
      <c r="D8462" s="5">
        <v>41549</v>
      </c>
      <c r="E8462" s="4" t="s">
        <v>1410</v>
      </c>
      <c r="F8462" s="4" t="s">
        <v>8696</v>
      </c>
    </row>
    <row r="8463" spans="1:6" x14ac:dyDescent="0.25">
      <c r="A8463" s="4" t="str">
        <f>CONCATENATE("3071-0000-5368","")</f>
        <v>3071-0000-5368</v>
      </c>
      <c r="B8463" s="4" t="s">
        <v>6876</v>
      </c>
      <c r="C8463" s="5">
        <v>41489</v>
      </c>
      <c r="D8463" s="5">
        <v>41549</v>
      </c>
      <c r="E8463" s="4" t="s">
        <v>5185</v>
      </c>
      <c r="F8463" s="4" t="s">
        <v>5185</v>
      </c>
    </row>
    <row r="8464" spans="1:6" x14ac:dyDescent="0.25">
      <c r="A8464" s="4" t="str">
        <f>CONCATENATE("3071-0000-6500","")</f>
        <v>3071-0000-6500</v>
      </c>
      <c r="B8464" s="4" t="s">
        <v>7763</v>
      </c>
      <c r="C8464" s="5">
        <v>41489</v>
      </c>
      <c r="D8464" s="5">
        <v>41549</v>
      </c>
      <c r="E8464" s="4" t="s">
        <v>5185</v>
      </c>
      <c r="F8464" s="4" t="s">
        <v>5185</v>
      </c>
    </row>
    <row r="8465" spans="1:6" x14ac:dyDescent="0.25">
      <c r="A8465" s="4" t="str">
        <f>CONCATENATE("3071-0000-8220","")</f>
        <v>3071-0000-8220</v>
      </c>
      <c r="B8465" s="4" t="s">
        <v>5709</v>
      </c>
      <c r="C8465" s="5">
        <v>41489</v>
      </c>
      <c r="D8465" s="5">
        <v>41549</v>
      </c>
      <c r="E8465" s="4" t="s">
        <v>5185</v>
      </c>
      <c r="F8465" s="4" t="s">
        <v>5185</v>
      </c>
    </row>
    <row r="8466" spans="1:6" x14ac:dyDescent="0.25">
      <c r="A8466" s="4" t="str">
        <f>CONCATENATE("3071-0000-2376","")</f>
        <v>3071-0000-2376</v>
      </c>
      <c r="B8466" s="4" t="s">
        <v>3169</v>
      </c>
      <c r="C8466" s="5">
        <v>41489</v>
      </c>
      <c r="D8466" s="5">
        <v>41549</v>
      </c>
      <c r="E8466" s="4" t="s">
        <v>2944</v>
      </c>
      <c r="F8466" s="4" t="s">
        <v>3164</v>
      </c>
    </row>
    <row r="8467" spans="1:6" x14ac:dyDescent="0.25">
      <c r="A8467" s="4" t="str">
        <f>CONCATENATE("3071-0000-3439","")</f>
        <v>3071-0000-3439</v>
      </c>
      <c r="B8467" s="4" t="s">
        <v>1723</v>
      </c>
      <c r="C8467" s="5">
        <v>41489</v>
      </c>
      <c r="D8467" s="5">
        <v>41549</v>
      </c>
      <c r="E8467" s="4" t="s">
        <v>1410</v>
      </c>
      <c r="F8467" s="4" t="s">
        <v>1411</v>
      </c>
    </row>
    <row r="8468" spans="1:6" x14ac:dyDescent="0.25">
      <c r="A8468" s="4" t="str">
        <f>CONCATENATE("3071-0000-0594","")</f>
        <v>3071-0000-0594</v>
      </c>
      <c r="B8468" s="4" t="s">
        <v>386</v>
      </c>
      <c r="C8468" s="5">
        <v>41489</v>
      </c>
      <c r="D8468" s="5">
        <v>41549</v>
      </c>
      <c r="E8468" s="4" t="s">
        <v>7</v>
      </c>
      <c r="F8468" s="4" t="s">
        <v>273</v>
      </c>
    </row>
    <row r="8469" spans="1:6" x14ac:dyDescent="0.25">
      <c r="A8469" s="4" t="str">
        <f>CONCATENATE("3071-0000-7359","")</f>
        <v>3071-0000-7359</v>
      </c>
      <c r="B8469" s="4" t="s">
        <v>5048</v>
      </c>
      <c r="C8469" s="5">
        <v>41489</v>
      </c>
      <c r="D8469" s="5">
        <v>41549</v>
      </c>
      <c r="E8469" s="4" t="s">
        <v>1410</v>
      </c>
      <c r="F8469" s="4" t="s">
        <v>1410</v>
      </c>
    </row>
    <row r="8470" spans="1:6" x14ac:dyDescent="0.25">
      <c r="A8470" s="4" t="str">
        <f>CONCATENATE("3071-0000-5428","")</f>
        <v>3071-0000-5428</v>
      </c>
      <c r="B8470" s="4" t="s">
        <v>6879</v>
      </c>
      <c r="C8470" s="5">
        <v>41489</v>
      </c>
      <c r="D8470" s="5">
        <v>41549</v>
      </c>
      <c r="E8470" s="4" t="s">
        <v>5185</v>
      </c>
      <c r="F8470" s="4" t="s">
        <v>5185</v>
      </c>
    </row>
    <row r="8471" spans="1:6" x14ac:dyDescent="0.25">
      <c r="A8471" s="4" t="str">
        <f>CONCATENATE("3071-0000-2161","")</f>
        <v>3071-0000-2161</v>
      </c>
      <c r="B8471" s="4" t="s">
        <v>3202</v>
      </c>
      <c r="C8471" s="5">
        <v>41489</v>
      </c>
      <c r="D8471" s="5">
        <v>41549</v>
      </c>
      <c r="E8471" s="4" t="s">
        <v>2944</v>
      </c>
      <c r="F8471" s="4" t="s">
        <v>2945</v>
      </c>
    </row>
    <row r="8472" spans="1:6" x14ac:dyDescent="0.25">
      <c r="A8472" s="4" t="str">
        <f>CONCATENATE("3071-0000-7654","")</f>
        <v>3071-0000-7654</v>
      </c>
      <c r="B8472" s="4" t="s">
        <v>4885</v>
      </c>
      <c r="C8472" s="5">
        <v>41489</v>
      </c>
      <c r="D8472" s="5">
        <v>41549</v>
      </c>
      <c r="E8472" s="4" t="s">
        <v>1410</v>
      </c>
      <c r="F8472" s="4" t="s">
        <v>4655</v>
      </c>
    </row>
    <row r="8473" spans="1:6" x14ac:dyDescent="0.25">
      <c r="A8473" s="4" t="str">
        <f>CONCATENATE("3071-0000-2194","")</f>
        <v>3071-0000-2194</v>
      </c>
      <c r="B8473" s="4" t="s">
        <v>3186</v>
      </c>
      <c r="C8473" s="5">
        <v>41489</v>
      </c>
      <c r="D8473" s="5">
        <v>41549</v>
      </c>
      <c r="E8473" s="4" t="s">
        <v>2944</v>
      </c>
      <c r="F8473" s="4" t="s">
        <v>2945</v>
      </c>
    </row>
    <row r="8474" spans="1:6" x14ac:dyDescent="0.25">
      <c r="A8474" s="4" t="str">
        <f>CONCATENATE("3071-0000-2631","")</f>
        <v>3071-0000-2631</v>
      </c>
      <c r="B8474" s="4" t="s">
        <v>3187</v>
      </c>
      <c r="C8474" s="5">
        <v>41489</v>
      </c>
      <c r="D8474" s="5">
        <v>41549</v>
      </c>
      <c r="E8474" s="4" t="s">
        <v>2944</v>
      </c>
      <c r="F8474" s="4" t="s">
        <v>3164</v>
      </c>
    </row>
    <row r="8475" spans="1:6" x14ac:dyDescent="0.25">
      <c r="A8475" s="4" t="str">
        <f>CONCATENATE("3071-0000-8135","")</f>
        <v>3071-0000-8135</v>
      </c>
      <c r="B8475" s="4" t="s">
        <v>5244</v>
      </c>
      <c r="C8475" s="5">
        <v>41489</v>
      </c>
      <c r="D8475" s="5">
        <v>41549</v>
      </c>
      <c r="E8475" s="4" t="s">
        <v>5185</v>
      </c>
      <c r="F8475" s="4" t="s">
        <v>5185</v>
      </c>
    </row>
    <row r="8476" spans="1:6" x14ac:dyDescent="0.25">
      <c r="A8476" s="4" t="str">
        <f>CONCATENATE("3071-0000-2550","")</f>
        <v>3071-0000-2550</v>
      </c>
      <c r="B8476" s="4" t="s">
        <v>3747</v>
      </c>
      <c r="C8476" s="5">
        <v>41489</v>
      </c>
      <c r="D8476" s="5">
        <v>41549</v>
      </c>
      <c r="E8476" s="4" t="s">
        <v>2944</v>
      </c>
      <c r="F8476" s="4" t="s">
        <v>3593</v>
      </c>
    </row>
    <row r="8477" spans="1:6" x14ac:dyDescent="0.25">
      <c r="A8477" s="4" t="str">
        <f>CONCATENATE("3071-0000-6800","")</f>
        <v>3071-0000-6800</v>
      </c>
      <c r="B8477" s="4" t="s">
        <v>8073</v>
      </c>
      <c r="C8477" s="5">
        <v>41489</v>
      </c>
      <c r="D8477" s="5">
        <v>41549</v>
      </c>
      <c r="E8477" s="4" t="s">
        <v>1410</v>
      </c>
      <c r="F8477" s="4" t="s">
        <v>7967</v>
      </c>
    </row>
    <row r="8478" spans="1:6" x14ac:dyDescent="0.25">
      <c r="A8478" s="4" t="str">
        <f>CONCATENATE("3071-0000-9338","")</f>
        <v>3071-0000-9338</v>
      </c>
      <c r="B8478" s="4" t="s">
        <v>8293</v>
      </c>
      <c r="C8478" s="5">
        <v>41489</v>
      </c>
      <c r="D8478" s="5">
        <v>41549</v>
      </c>
      <c r="E8478" s="4" t="s">
        <v>1410</v>
      </c>
      <c r="F8478" s="4" t="s">
        <v>7967</v>
      </c>
    </row>
    <row r="8479" spans="1:6" x14ac:dyDescent="0.25">
      <c r="A8479" s="4" t="str">
        <f>CONCATENATE("3071-0000-6429","")</f>
        <v>3071-0000-6429</v>
      </c>
      <c r="B8479" s="4" t="s">
        <v>8134</v>
      </c>
      <c r="C8479" s="5">
        <v>41489</v>
      </c>
      <c r="D8479" s="5">
        <v>41549</v>
      </c>
      <c r="E8479" s="4" t="s">
        <v>5185</v>
      </c>
      <c r="F8479" s="4" t="s">
        <v>5185</v>
      </c>
    </row>
    <row r="8480" spans="1:6" x14ac:dyDescent="0.25">
      <c r="A8480" s="4" t="str">
        <f>CONCATENATE("3071-0000-6877","")</f>
        <v>3071-0000-6877</v>
      </c>
      <c r="B8480" s="4" t="s">
        <v>4494</v>
      </c>
      <c r="C8480" s="5">
        <v>41489</v>
      </c>
      <c r="D8480" s="5">
        <v>41549</v>
      </c>
      <c r="E8480" s="4" t="s">
        <v>1410</v>
      </c>
      <c r="F8480" s="4" t="s">
        <v>1410</v>
      </c>
    </row>
    <row r="8481" spans="1:6" x14ac:dyDescent="0.25">
      <c r="A8481" s="4" t="str">
        <f>CONCATENATE("3071-0000-1965","")</f>
        <v>3071-0000-1965</v>
      </c>
      <c r="B8481" s="4" t="s">
        <v>3089</v>
      </c>
      <c r="C8481" s="5">
        <v>41489</v>
      </c>
      <c r="D8481" s="5">
        <v>41549</v>
      </c>
      <c r="E8481" s="4" t="s">
        <v>2944</v>
      </c>
      <c r="F8481" s="4" t="s">
        <v>2945</v>
      </c>
    </row>
    <row r="8482" spans="1:6" x14ac:dyDescent="0.25">
      <c r="A8482" s="4" t="str">
        <f>CONCATENATE("3071-0000-1900","")</f>
        <v>3071-0000-1900</v>
      </c>
      <c r="B8482" s="4" t="s">
        <v>2986</v>
      </c>
      <c r="C8482" s="5">
        <v>41489</v>
      </c>
      <c r="D8482" s="5">
        <v>41549</v>
      </c>
      <c r="E8482" s="4" t="s">
        <v>2944</v>
      </c>
      <c r="F8482" s="4" t="s">
        <v>2945</v>
      </c>
    </row>
    <row r="8483" spans="1:6" x14ac:dyDescent="0.25">
      <c r="A8483" s="4" t="str">
        <f>CONCATENATE("3071-0000-7597","")</f>
        <v>3071-0000-7597</v>
      </c>
      <c r="B8483" s="4" t="s">
        <v>5008</v>
      </c>
      <c r="C8483" s="5">
        <v>41489</v>
      </c>
      <c r="D8483" s="5">
        <v>41549</v>
      </c>
      <c r="E8483" s="4" t="s">
        <v>1410</v>
      </c>
      <c r="F8483" s="4" t="s">
        <v>4616</v>
      </c>
    </row>
    <row r="8484" spans="1:6" x14ac:dyDescent="0.25">
      <c r="A8484" s="4" t="str">
        <f>CONCATENATE("3071-0000-2595","")</f>
        <v>3071-0000-2595</v>
      </c>
      <c r="B8484" s="4" t="s">
        <v>3232</v>
      </c>
      <c r="C8484" s="5">
        <v>41489</v>
      </c>
      <c r="D8484" s="5">
        <v>41549</v>
      </c>
      <c r="E8484" s="4" t="s">
        <v>2944</v>
      </c>
      <c r="F8484" s="4" t="s">
        <v>3164</v>
      </c>
    </row>
    <row r="8485" spans="1:6" x14ac:dyDescent="0.25">
      <c r="A8485" s="4" t="str">
        <f>CONCATENATE("3071-0000-2170","")</f>
        <v>3071-0000-2170</v>
      </c>
      <c r="B8485" s="4" t="s">
        <v>3210</v>
      </c>
      <c r="C8485" s="5">
        <v>41489</v>
      </c>
      <c r="D8485" s="5">
        <v>41549</v>
      </c>
      <c r="E8485" s="4" t="s">
        <v>2944</v>
      </c>
      <c r="F8485" s="4" t="s">
        <v>2945</v>
      </c>
    </row>
    <row r="8486" spans="1:6" x14ac:dyDescent="0.25">
      <c r="A8486" s="4" t="str">
        <f>CONCATENATE("3071-0000-2196","")</f>
        <v>3071-0000-2196</v>
      </c>
      <c r="B8486" s="4" t="s">
        <v>3175</v>
      </c>
      <c r="C8486" s="5">
        <v>41489</v>
      </c>
      <c r="D8486" s="5">
        <v>41549</v>
      </c>
      <c r="E8486" s="4" t="s">
        <v>2944</v>
      </c>
      <c r="F8486" s="4" t="s">
        <v>2945</v>
      </c>
    </row>
    <row r="8487" spans="1:6" x14ac:dyDescent="0.25">
      <c r="A8487" s="4" t="str">
        <f>CONCATENATE("3071-0000-2155","")</f>
        <v>3071-0000-2155</v>
      </c>
      <c r="B8487" s="4" t="s">
        <v>3181</v>
      </c>
      <c r="C8487" s="5">
        <v>41489</v>
      </c>
      <c r="D8487" s="5">
        <v>41549</v>
      </c>
      <c r="E8487" s="4" t="s">
        <v>2944</v>
      </c>
      <c r="F8487" s="4" t="s">
        <v>2945</v>
      </c>
    </row>
    <row r="8488" spans="1:6" x14ac:dyDescent="0.25">
      <c r="A8488" s="4" t="str">
        <f>CONCATENATE("3071-0000-2577","")</f>
        <v>3071-0000-2577</v>
      </c>
      <c r="B8488" s="4" t="s">
        <v>3266</v>
      </c>
      <c r="C8488" s="5">
        <v>41489</v>
      </c>
      <c r="D8488" s="5">
        <v>41549</v>
      </c>
      <c r="E8488" s="4" t="s">
        <v>2944</v>
      </c>
      <c r="F8488" s="4" t="s">
        <v>3164</v>
      </c>
    </row>
    <row r="8489" spans="1:6" x14ac:dyDescent="0.25">
      <c r="A8489" s="4" t="str">
        <f>CONCATENATE("3071-0000-3042","")</f>
        <v>3071-0000-3042</v>
      </c>
      <c r="B8489" s="4" t="s">
        <v>1084</v>
      </c>
      <c r="C8489" s="5">
        <v>41489</v>
      </c>
      <c r="D8489" s="5">
        <v>41549</v>
      </c>
      <c r="E8489" s="4" t="s">
        <v>7</v>
      </c>
      <c r="F8489" s="4" t="s">
        <v>808</v>
      </c>
    </row>
    <row r="8490" spans="1:6" x14ac:dyDescent="0.25">
      <c r="A8490" s="4" t="str">
        <f>CONCATENATE("3071-0000-2059","")</f>
        <v>3071-0000-2059</v>
      </c>
      <c r="B8490" s="4" t="s">
        <v>3392</v>
      </c>
      <c r="C8490" s="5">
        <v>41489</v>
      </c>
      <c r="D8490" s="5">
        <v>41549</v>
      </c>
      <c r="E8490" s="4" t="s">
        <v>2944</v>
      </c>
      <c r="F8490" s="4" t="s">
        <v>2945</v>
      </c>
    </row>
    <row r="8491" spans="1:6" x14ac:dyDescent="0.25">
      <c r="A8491" s="4" t="str">
        <f>CONCATENATE("3071-0000-9212","")</f>
        <v>3071-0000-9212</v>
      </c>
      <c r="B8491" s="4" t="s">
        <v>8356</v>
      </c>
      <c r="C8491" s="5">
        <v>41489</v>
      </c>
      <c r="D8491" s="5">
        <v>41549</v>
      </c>
      <c r="E8491" s="4" t="s">
        <v>5185</v>
      </c>
      <c r="F8491" s="4" t="s">
        <v>5185</v>
      </c>
    </row>
    <row r="8492" spans="1:6" x14ac:dyDescent="0.25">
      <c r="A8492" s="4" t="str">
        <f>CONCATENATE("3071-0000-3442","")</f>
        <v>3071-0000-3442</v>
      </c>
      <c r="B8492" s="4" t="s">
        <v>1715</v>
      </c>
      <c r="C8492" s="5">
        <v>41489</v>
      </c>
      <c r="D8492" s="5">
        <v>41549</v>
      </c>
      <c r="E8492" s="4" t="s">
        <v>1410</v>
      </c>
      <c r="F8492" s="4" t="s">
        <v>1411</v>
      </c>
    </row>
    <row r="8493" spans="1:6" x14ac:dyDescent="0.25">
      <c r="A8493" s="4" t="str">
        <f>CONCATENATE("3071-0000-1450","")</f>
        <v>3071-0000-1450</v>
      </c>
      <c r="B8493" s="4" t="s">
        <v>2689</v>
      </c>
      <c r="C8493" s="5">
        <v>41489</v>
      </c>
      <c r="D8493" s="5">
        <v>41549</v>
      </c>
      <c r="E8493" s="4" t="s">
        <v>1381</v>
      </c>
      <c r="F8493" s="4" t="s">
        <v>2303</v>
      </c>
    </row>
    <row r="8494" spans="1:6" x14ac:dyDescent="0.25">
      <c r="A8494" s="4" t="str">
        <f>CONCATENATE("3071-0000-8824","")</f>
        <v>3071-0000-8824</v>
      </c>
      <c r="B8494" s="4" t="s">
        <v>5926</v>
      </c>
      <c r="C8494" s="5">
        <v>41489</v>
      </c>
      <c r="D8494" s="5">
        <v>41549</v>
      </c>
      <c r="E8494" s="4" t="s">
        <v>5185</v>
      </c>
      <c r="F8494" s="4" t="s">
        <v>4188</v>
      </c>
    </row>
    <row r="8495" spans="1:6" x14ac:dyDescent="0.25">
      <c r="A8495" s="4" t="str">
        <f>CONCATENATE("3071-0000-1570","")</f>
        <v>3071-0000-1570</v>
      </c>
      <c r="B8495" s="4" t="s">
        <v>2467</v>
      </c>
      <c r="C8495" s="5">
        <v>41489</v>
      </c>
      <c r="D8495" s="5">
        <v>41549</v>
      </c>
      <c r="E8495" s="4" t="s">
        <v>1381</v>
      </c>
      <c r="F8495" s="4" t="s">
        <v>2303</v>
      </c>
    </row>
    <row r="8496" spans="1:6" x14ac:dyDescent="0.25">
      <c r="A8496" s="4" t="str">
        <f>CONCATENATE("3071-0000-1997","")</f>
        <v>3071-0000-1997</v>
      </c>
      <c r="B8496" s="4" t="s">
        <v>3144</v>
      </c>
      <c r="C8496" s="5">
        <v>41489</v>
      </c>
      <c r="D8496" s="5">
        <v>41549</v>
      </c>
      <c r="E8496" s="4" t="s">
        <v>2944</v>
      </c>
      <c r="F8496" s="4" t="s">
        <v>2945</v>
      </c>
    </row>
    <row r="8497" spans="1:6" x14ac:dyDescent="0.25">
      <c r="A8497" s="4" t="str">
        <f>CONCATENATE("3071-0000-2628","")</f>
        <v>3071-0000-2628</v>
      </c>
      <c r="B8497" s="4" t="s">
        <v>3159</v>
      </c>
      <c r="C8497" s="5">
        <v>41489</v>
      </c>
      <c r="D8497" s="5">
        <v>41549</v>
      </c>
      <c r="E8497" s="4" t="s">
        <v>2944</v>
      </c>
      <c r="F8497" s="4" t="s">
        <v>3115</v>
      </c>
    </row>
    <row r="8498" spans="1:6" x14ac:dyDescent="0.25">
      <c r="A8498" s="4" t="str">
        <f>CONCATENATE("3071-0000-7930","")</f>
        <v>3071-0000-7930</v>
      </c>
      <c r="B8498" s="4" t="s">
        <v>5559</v>
      </c>
      <c r="C8498" s="5">
        <v>41489</v>
      </c>
      <c r="D8498" s="5">
        <v>41549</v>
      </c>
      <c r="E8498" s="4" t="s">
        <v>5185</v>
      </c>
      <c r="F8498" s="4" t="s">
        <v>5185</v>
      </c>
    </row>
    <row r="8499" spans="1:6" x14ac:dyDescent="0.25">
      <c r="A8499" s="4" t="str">
        <f>CONCATENATE("3071-0000-4425","")</f>
        <v>3071-0000-4425</v>
      </c>
      <c r="B8499" s="4" t="s">
        <v>9292</v>
      </c>
      <c r="C8499" s="5">
        <v>41489</v>
      </c>
      <c r="D8499" s="5">
        <v>41549</v>
      </c>
      <c r="E8499" s="4" t="s">
        <v>1410</v>
      </c>
      <c r="F8499" s="4" t="s">
        <v>8696</v>
      </c>
    </row>
    <row r="8500" spans="1:6" x14ac:dyDescent="0.25">
      <c r="A8500" s="4" t="str">
        <f>CONCATENATE("3071-0000-4736","")</f>
        <v>3071-0000-4736</v>
      </c>
      <c r="B8500" s="4" t="s">
        <v>9670</v>
      </c>
      <c r="C8500" s="5">
        <v>41489</v>
      </c>
      <c r="D8500" s="5">
        <v>41549</v>
      </c>
      <c r="E8500" s="4" t="s">
        <v>1410</v>
      </c>
      <c r="F8500" s="4" t="s">
        <v>8696</v>
      </c>
    </row>
    <row r="8501" spans="1:6" x14ac:dyDescent="0.25">
      <c r="A8501" s="4" t="str">
        <f>CONCATENATE("3071-0000-4424","")</f>
        <v>3071-0000-4424</v>
      </c>
      <c r="B8501" s="4" t="s">
        <v>9290</v>
      </c>
      <c r="C8501" s="5">
        <v>41489</v>
      </c>
      <c r="D8501" s="5">
        <v>41549</v>
      </c>
      <c r="E8501" s="4" t="s">
        <v>1410</v>
      </c>
      <c r="F8501" s="4" t="s">
        <v>8696</v>
      </c>
    </row>
    <row r="8502" spans="1:6" x14ac:dyDescent="0.25">
      <c r="A8502" s="4" t="str">
        <f>CONCATENATE("3071-0000-2561","")</f>
        <v>3071-0000-2561</v>
      </c>
      <c r="B8502" s="4" t="s">
        <v>3694</v>
      </c>
      <c r="C8502" s="5">
        <v>41489</v>
      </c>
      <c r="D8502" s="5">
        <v>41549</v>
      </c>
      <c r="E8502" s="4" t="s">
        <v>2944</v>
      </c>
      <c r="F8502" s="4" t="s">
        <v>3164</v>
      </c>
    </row>
    <row r="8503" spans="1:6" x14ac:dyDescent="0.25">
      <c r="A8503" s="4" t="str">
        <f>CONCATENATE("3071-0000-2387","")</f>
        <v>3071-0000-2387</v>
      </c>
      <c r="B8503" s="4" t="s">
        <v>3523</v>
      </c>
      <c r="C8503" s="5">
        <v>41489</v>
      </c>
      <c r="D8503" s="5">
        <v>41549</v>
      </c>
      <c r="E8503" s="4" t="s">
        <v>2944</v>
      </c>
      <c r="F8503" s="4" t="s">
        <v>3515</v>
      </c>
    </row>
    <row r="8504" spans="1:6" x14ac:dyDescent="0.25">
      <c r="A8504" s="4" t="str">
        <f>CONCATENATE("3071-0000-2310","")</f>
        <v>3071-0000-2310</v>
      </c>
      <c r="B8504" s="4" t="s">
        <v>3530</v>
      </c>
      <c r="C8504" s="5">
        <v>41489</v>
      </c>
      <c r="D8504" s="5">
        <v>41549</v>
      </c>
      <c r="E8504" s="4" t="s">
        <v>2944</v>
      </c>
      <c r="F8504" s="4" t="s">
        <v>2945</v>
      </c>
    </row>
    <row r="8505" spans="1:6" x14ac:dyDescent="0.25">
      <c r="A8505" s="4" t="str">
        <f>CONCATENATE("3071-0000-2692","")</f>
        <v>3071-0000-2692</v>
      </c>
      <c r="B8505" s="4" t="s">
        <v>3537</v>
      </c>
      <c r="C8505" s="5">
        <v>41489</v>
      </c>
      <c r="D8505" s="5">
        <v>41549</v>
      </c>
      <c r="E8505" s="4" t="s">
        <v>2944</v>
      </c>
      <c r="F8505" s="4" t="s">
        <v>3515</v>
      </c>
    </row>
    <row r="8506" spans="1:6" x14ac:dyDescent="0.25">
      <c r="A8506" s="4" t="str">
        <f>CONCATENATE("3071-0000-6816","")</f>
        <v>3071-0000-6816</v>
      </c>
      <c r="B8506" s="4" t="s">
        <v>8159</v>
      </c>
      <c r="C8506" s="5">
        <v>41489</v>
      </c>
      <c r="D8506" s="5">
        <v>41549</v>
      </c>
      <c r="E8506" s="4" t="s">
        <v>1410</v>
      </c>
      <c r="F8506" s="4" t="s">
        <v>7967</v>
      </c>
    </row>
    <row r="8507" spans="1:6" x14ac:dyDescent="0.25">
      <c r="A8507" s="4" t="str">
        <f>CONCATENATE("3071-0000-5046","")</f>
        <v>3071-0000-5046</v>
      </c>
      <c r="B8507" s="4" t="s">
        <v>9385</v>
      </c>
      <c r="C8507" s="5">
        <v>41489</v>
      </c>
      <c r="D8507" s="5">
        <v>41549</v>
      </c>
      <c r="E8507" s="4" t="s">
        <v>7069</v>
      </c>
      <c r="F8507" s="4" t="s">
        <v>9210</v>
      </c>
    </row>
    <row r="8508" spans="1:6" x14ac:dyDescent="0.25">
      <c r="A8508" s="4" t="str">
        <f>CONCATENATE("3071-0000-2407","")</f>
        <v>3071-0000-2407</v>
      </c>
      <c r="B8508" s="4" t="s">
        <v>3655</v>
      </c>
      <c r="C8508" s="5">
        <v>41489</v>
      </c>
      <c r="D8508" s="5">
        <v>41549</v>
      </c>
      <c r="E8508" s="4" t="s">
        <v>2944</v>
      </c>
      <c r="F8508" s="4" t="s">
        <v>3164</v>
      </c>
    </row>
    <row r="8509" spans="1:6" x14ac:dyDescent="0.25">
      <c r="A8509" s="4" t="str">
        <f>CONCATENATE("3071-0000-8678","")</f>
        <v>3071-0000-8678</v>
      </c>
      <c r="B8509" s="4" t="s">
        <v>6398</v>
      </c>
      <c r="C8509" s="5">
        <v>41489</v>
      </c>
      <c r="D8509" s="5">
        <v>41549</v>
      </c>
      <c r="E8509" s="4" t="s">
        <v>5185</v>
      </c>
      <c r="F8509" s="4" t="s">
        <v>5292</v>
      </c>
    </row>
    <row r="8510" spans="1:6" x14ac:dyDescent="0.25">
      <c r="A8510" s="4" t="str">
        <f>CONCATENATE("3071-0000-8867","")</f>
        <v>3071-0000-8867</v>
      </c>
      <c r="B8510" s="4" t="s">
        <v>6460</v>
      </c>
      <c r="C8510" s="5">
        <v>41489</v>
      </c>
      <c r="D8510" s="5">
        <v>41549</v>
      </c>
      <c r="E8510" s="4" t="s">
        <v>5185</v>
      </c>
      <c r="F8510" s="4" t="s">
        <v>5292</v>
      </c>
    </row>
    <row r="8511" spans="1:6" x14ac:dyDescent="0.25">
      <c r="A8511" s="4" t="str">
        <f>CONCATENATE("3071-0000-8554","")</f>
        <v>3071-0000-8554</v>
      </c>
      <c r="B8511" s="4" t="s">
        <v>5847</v>
      </c>
      <c r="C8511" s="5">
        <v>41489</v>
      </c>
      <c r="D8511" s="5">
        <v>41549</v>
      </c>
      <c r="E8511" s="4" t="s">
        <v>5185</v>
      </c>
      <c r="F8511" s="4" t="s">
        <v>4188</v>
      </c>
    </row>
    <row r="8512" spans="1:6" x14ac:dyDescent="0.25">
      <c r="A8512" s="4" t="str">
        <f>CONCATENATE("3071-0000-8692","")</f>
        <v>3071-0000-8692</v>
      </c>
      <c r="B8512" s="4" t="s">
        <v>6454</v>
      </c>
      <c r="C8512" s="5">
        <v>41489</v>
      </c>
      <c r="D8512" s="5">
        <v>41549</v>
      </c>
      <c r="E8512" s="4" t="s">
        <v>5185</v>
      </c>
      <c r="F8512" s="4" t="s">
        <v>5292</v>
      </c>
    </row>
    <row r="8513" spans="1:6" x14ac:dyDescent="0.25">
      <c r="A8513" s="4" t="str">
        <f>CONCATENATE("3071-0000-8898","")</f>
        <v>3071-0000-8898</v>
      </c>
      <c r="B8513" s="4" t="s">
        <v>6419</v>
      </c>
      <c r="C8513" s="5">
        <v>41489</v>
      </c>
      <c r="D8513" s="5">
        <v>41549</v>
      </c>
      <c r="E8513" s="4" t="s">
        <v>5185</v>
      </c>
      <c r="F8513" s="4" t="s">
        <v>5292</v>
      </c>
    </row>
    <row r="8514" spans="1:6" x14ac:dyDescent="0.25">
      <c r="A8514" s="4" t="str">
        <f>CONCATENATE("3071-0000-7217","")</f>
        <v>3071-0000-7217</v>
      </c>
      <c r="B8514" s="4" t="s">
        <v>5027</v>
      </c>
      <c r="C8514" s="5">
        <v>41489</v>
      </c>
      <c r="D8514" s="5">
        <v>41549</v>
      </c>
      <c r="E8514" s="4" t="s">
        <v>1410</v>
      </c>
      <c r="F8514" s="4" t="s">
        <v>1410</v>
      </c>
    </row>
    <row r="8515" spans="1:6" x14ac:dyDescent="0.25">
      <c r="A8515" s="4" t="str">
        <f>CONCATENATE("3071-0000-4734","")</f>
        <v>3071-0000-4734</v>
      </c>
      <c r="B8515" s="4" t="s">
        <v>9664</v>
      </c>
      <c r="C8515" s="5">
        <v>41489</v>
      </c>
      <c r="D8515" s="5">
        <v>41549</v>
      </c>
      <c r="E8515" s="4" t="s">
        <v>1410</v>
      </c>
      <c r="F8515" s="4" t="s">
        <v>8696</v>
      </c>
    </row>
    <row r="8516" spans="1:6" x14ac:dyDescent="0.25">
      <c r="A8516" s="4" t="str">
        <f>CONCATENATE("3071-0000-6229","")</f>
        <v>3071-0000-6229</v>
      </c>
      <c r="B8516" s="4" t="s">
        <v>6958</v>
      </c>
      <c r="C8516" s="5">
        <v>41489</v>
      </c>
      <c r="D8516" s="5">
        <v>41549</v>
      </c>
      <c r="E8516" s="4" t="s">
        <v>1410</v>
      </c>
      <c r="F8516" s="4" t="s">
        <v>4616</v>
      </c>
    </row>
    <row r="8517" spans="1:6" x14ac:dyDescent="0.25">
      <c r="A8517" s="4" t="str">
        <f>CONCATENATE("3071-0000-5800","")</f>
        <v>3071-0000-5800</v>
      </c>
      <c r="B8517" s="4" t="s">
        <v>6965</v>
      </c>
      <c r="C8517" s="5">
        <v>41489</v>
      </c>
      <c r="D8517" s="5">
        <v>41549</v>
      </c>
      <c r="E8517" s="4" t="s">
        <v>5185</v>
      </c>
      <c r="F8517" s="4" t="s">
        <v>5185</v>
      </c>
    </row>
    <row r="8518" spans="1:6" x14ac:dyDescent="0.25">
      <c r="A8518" s="4" t="str">
        <f>CONCATENATE("3071-0000-4714","")</f>
        <v>3071-0000-4714</v>
      </c>
      <c r="B8518" s="4" t="s">
        <v>9666</v>
      </c>
      <c r="C8518" s="5">
        <v>41489</v>
      </c>
      <c r="D8518" s="5">
        <v>41549</v>
      </c>
      <c r="E8518" s="4" t="s">
        <v>1410</v>
      </c>
      <c r="F8518" s="4" t="s">
        <v>8696</v>
      </c>
    </row>
    <row r="8519" spans="1:6" x14ac:dyDescent="0.25">
      <c r="A8519" s="4" t="str">
        <f>CONCATENATE("3071-0000-8685","")</f>
        <v>3071-0000-8685</v>
      </c>
      <c r="B8519" s="4" t="s">
        <v>6425</v>
      </c>
      <c r="C8519" s="5">
        <v>41489</v>
      </c>
      <c r="D8519" s="5">
        <v>41549</v>
      </c>
      <c r="E8519" s="4" t="s">
        <v>5185</v>
      </c>
      <c r="F8519" s="4" t="s">
        <v>5292</v>
      </c>
    </row>
    <row r="8520" spans="1:6" x14ac:dyDescent="0.25">
      <c r="A8520" s="4" t="str">
        <f>CONCATENATE("3071-0000-8715","")</f>
        <v>3071-0000-8715</v>
      </c>
      <c r="B8520" s="4" t="s">
        <v>6362</v>
      </c>
      <c r="C8520" s="5">
        <v>41489</v>
      </c>
      <c r="D8520" s="5">
        <v>41549</v>
      </c>
      <c r="E8520" s="4" t="s">
        <v>5185</v>
      </c>
      <c r="F8520" s="4" t="s">
        <v>5292</v>
      </c>
    </row>
    <row r="8521" spans="1:6" x14ac:dyDescent="0.25">
      <c r="A8521" s="4" t="str">
        <f>CONCATENATE("3071-0000-9137","")</f>
        <v>3071-0000-9137</v>
      </c>
      <c r="B8521" s="4" t="s">
        <v>6301</v>
      </c>
      <c r="C8521" s="5">
        <v>41489</v>
      </c>
      <c r="D8521" s="5">
        <v>41549</v>
      </c>
      <c r="E8521" s="4" t="s">
        <v>5185</v>
      </c>
      <c r="F8521" s="4" t="s">
        <v>6181</v>
      </c>
    </row>
    <row r="8522" spans="1:6" x14ac:dyDescent="0.25">
      <c r="A8522" s="4" t="str">
        <f>CONCATENATE("3071-0000-9149","")</f>
        <v>3071-0000-9149</v>
      </c>
      <c r="B8522" s="4" t="s">
        <v>6083</v>
      </c>
      <c r="C8522" s="5">
        <v>41489</v>
      </c>
      <c r="D8522" s="5">
        <v>41549</v>
      </c>
      <c r="E8522" s="4" t="s">
        <v>5185</v>
      </c>
      <c r="F8522" s="4" t="s">
        <v>5945</v>
      </c>
    </row>
    <row r="8523" spans="1:6" x14ac:dyDescent="0.25">
      <c r="A8523" s="4" t="str">
        <f>CONCATENATE("3071-0000-8676","")</f>
        <v>3071-0000-8676</v>
      </c>
      <c r="B8523" s="4" t="s">
        <v>6385</v>
      </c>
      <c r="C8523" s="5">
        <v>41489</v>
      </c>
      <c r="D8523" s="5">
        <v>41549</v>
      </c>
      <c r="E8523" s="4" t="s">
        <v>5185</v>
      </c>
      <c r="F8523" s="4" t="s">
        <v>5292</v>
      </c>
    </row>
    <row r="8524" spans="1:6" x14ac:dyDescent="0.25">
      <c r="A8524" s="4" t="str">
        <f>CONCATENATE("3071-0000-5739","")</f>
        <v>3071-0000-5739</v>
      </c>
      <c r="B8524" s="4" t="s">
        <v>7451</v>
      </c>
      <c r="C8524" s="5">
        <v>41489</v>
      </c>
      <c r="D8524" s="5">
        <v>41549</v>
      </c>
      <c r="E8524" s="4" t="s">
        <v>5185</v>
      </c>
      <c r="F8524" s="4" t="s">
        <v>5185</v>
      </c>
    </row>
    <row r="8525" spans="1:6" x14ac:dyDescent="0.25">
      <c r="A8525" s="4" t="str">
        <f>CONCATENATE("3071-0000-1952","")</f>
        <v>3071-0000-1952</v>
      </c>
      <c r="B8525" s="4" t="s">
        <v>3062</v>
      </c>
      <c r="C8525" s="5">
        <v>41489</v>
      </c>
      <c r="D8525" s="5">
        <v>41549</v>
      </c>
      <c r="E8525" s="4" t="s">
        <v>2944</v>
      </c>
      <c r="F8525" s="4" t="s">
        <v>2945</v>
      </c>
    </row>
    <row r="8526" spans="1:6" x14ac:dyDescent="0.25">
      <c r="A8526" s="4" t="str">
        <f>CONCATENATE("3071-0000-1924","")</f>
        <v>3071-0000-1924</v>
      </c>
      <c r="B8526" s="4" t="s">
        <v>3013</v>
      </c>
      <c r="C8526" s="5">
        <v>41489</v>
      </c>
      <c r="D8526" s="5">
        <v>41549</v>
      </c>
      <c r="E8526" s="4" t="s">
        <v>2944</v>
      </c>
      <c r="F8526" s="4" t="s">
        <v>2945</v>
      </c>
    </row>
    <row r="8527" spans="1:6" x14ac:dyDescent="0.25">
      <c r="A8527" s="4" t="str">
        <f>CONCATENATE("3071-0000-3270","")</f>
        <v>3071-0000-3270</v>
      </c>
      <c r="B8527" s="4" t="s">
        <v>841</v>
      </c>
      <c r="C8527" s="5">
        <v>41489</v>
      </c>
      <c r="D8527" s="5">
        <v>41549</v>
      </c>
      <c r="E8527" s="4" t="s">
        <v>7</v>
      </c>
      <c r="F8527" s="4" t="s">
        <v>812</v>
      </c>
    </row>
    <row r="8528" spans="1:6" x14ac:dyDescent="0.25">
      <c r="A8528" s="4" t="str">
        <f>CONCATENATE("3071-0000-2769","")</f>
        <v>3071-0000-2769</v>
      </c>
      <c r="B8528" s="4" t="s">
        <v>876</v>
      </c>
      <c r="C8528" s="5">
        <v>41489</v>
      </c>
      <c r="D8528" s="5">
        <v>41549</v>
      </c>
      <c r="E8528" s="4" t="s">
        <v>7</v>
      </c>
      <c r="F8528" s="4" t="s">
        <v>808</v>
      </c>
    </row>
    <row r="8529" spans="1:6" x14ac:dyDescent="0.25">
      <c r="A8529" s="4" t="str">
        <f>CONCATENATE("3071-0000-1961","")</f>
        <v>3071-0000-1961</v>
      </c>
      <c r="B8529" s="4" t="s">
        <v>3351</v>
      </c>
      <c r="C8529" s="5">
        <v>41489</v>
      </c>
      <c r="D8529" s="5">
        <v>41549</v>
      </c>
      <c r="E8529" s="4" t="s">
        <v>2944</v>
      </c>
      <c r="F8529" s="4" t="s">
        <v>2945</v>
      </c>
    </row>
    <row r="8530" spans="1:6" x14ac:dyDescent="0.25">
      <c r="A8530" s="4" t="str">
        <f>CONCATENATE("3071-0000-1107","")</f>
        <v>3071-0000-1107</v>
      </c>
      <c r="B8530" s="4" t="s">
        <v>1971</v>
      </c>
      <c r="C8530" s="5">
        <v>41489</v>
      </c>
      <c r="D8530" s="5">
        <v>41549</v>
      </c>
      <c r="E8530" s="4" t="s">
        <v>1857</v>
      </c>
      <c r="F8530" s="4" t="s">
        <v>1857</v>
      </c>
    </row>
    <row r="8531" spans="1:6" x14ac:dyDescent="0.25">
      <c r="A8531" s="4" t="str">
        <f>CONCATENATE("3071-0000-1073","")</f>
        <v>3071-0000-1073</v>
      </c>
      <c r="B8531" s="4" t="s">
        <v>1977</v>
      </c>
      <c r="C8531" s="5">
        <v>41489</v>
      </c>
      <c r="D8531" s="5">
        <v>41549</v>
      </c>
      <c r="E8531" s="4" t="s">
        <v>1857</v>
      </c>
      <c r="F8531" s="4" t="s">
        <v>1857</v>
      </c>
    </row>
    <row r="8532" spans="1:6" x14ac:dyDescent="0.25">
      <c r="A8532" s="4" t="str">
        <f>CONCATENATE("3071-0000-2367","")</f>
        <v>3071-0000-2367</v>
      </c>
      <c r="B8532" s="4" t="s">
        <v>3411</v>
      </c>
      <c r="C8532" s="5">
        <v>41489</v>
      </c>
      <c r="D8532" s="5">
        <v>41549</v>
      </c>
      <c r="E8532" s="4" t="s">
        <v>2944</v>
      </c>
      <c r="F8532" s="4" t="s">
        <v>2945</v>
      </c>
    </row>
    <row r="8533" spans="1:6" x14ac:dyDescent="0.25">
      <c r="A8533" s="4" t="str">
        <f>CONCATENATE("3071-0000-1922","")</f>
        <v>3071-0000-1922</v>
      </c>
      <c r="B8533" s="4" t="s">
        <v>3011</v>
      </c>
      <c r="C8533" s="5">
        <v>41489</v>
      </c>
      <c r="D8533" s="5">
        <v>41549</v>
      </c>
      <c r="E8533" s="4" t="s">
        <v>2944</v>
      </c>
      <c r="F8533" s="4" t="s">
        <v>2945</v>
      </c>
    </row>
    <row r="8534" spans="1:6" x14ac:dyDescent="0.25">
      <c r="A8534" s="4" t="str">
        <f>CONCATENATE("3071-0000-0968","")</f>
        <v>3071-0000-0968</v>
      </c>
      <c r="B8534" s="4" t="s">
        <v>2088</v>
      </c>
      <c r="C8534" s="5">
        <v>41489</v>
      </c>
      <c r="D8534" s="5">
        <v>41549</v>
      </c>
      <c r="E8534" s="4" t="s">
        <v>1857</v>
      </c>
      <c r="F8534" s="4" t="s">
        <v>1857</v>
      </c>
    </row>
    <row r="8535" spans="1:6" x14ac:dyDescent="0.25">
      <c r="A8535" s="4" t="str">
        <f>CONCATENATE("3071-0000-0933","")</f>
        <v>3071-0000-0933</v>
      </c>
      <c r="B8535" s="4" t="s">
        <v>2094</v>
      </c>
      <c r="C8535" s="5">
        <v>41489</v>
      </c>
      <c r="D8535" s="5">
        <v>41549</v>
      </c>
      <c r="E8535" s="4" t="s">
        <v>1857</v>
      </c>
      <c r="F8535" s="4" t="s">
        <v>1857</v>
      </c>
    </row>
    <row r="8536" spans="1:6" x14ac:dyDescent="0.25">
      <c r="A8536" s="4" t="str">
        <f>CONCATENATE("3071-0000-2646","")</f>
        <v>3071-0000-2646</v>
      </c>
      <c r="B8536" s="4" t="s">
        <v>3314</v>
      </c>
      <c r="C8536" s="5">
        <v>41489</v>
      </c>
      <c r="D8536" s="5">
        <v>41549</v>
      </c>
      <c r="E8536" s="4" t="s">
        <v>1857</v>
      </c>
      <c r="F8536" s="4" t="s">
        <v>3306</v>
      </c>
    </row>
    <row r="8537" spans="1:6" x14ac:dyDescent="0.25">
      <c r="A8537" s="4" t="str">
        <f>CONCATENATE("3071-0000-6151","")</f>
        <v>3071-0000-6151</v>
      </c>
      <c r="B8537" s="4" t="s">
        <v>7698</v>
      </c>
      <c r="C8537" s="5">
        <v>41489</v>
      </c>
      <c r="D8537" s="5">
        <v>41549</v>
      </c>
      <c r="E8537" s="4" t="s">
        <v>1410</v>
      </c>
      <c r="F8537" s="4" t="s">
        <v>1410</v>
      </c>
    </row>
    <row r="8538" spans="1:6" x14ac:dyDescent="0.25">
      <c r="A8538" s="4" t="str">
        <f>CONCATENATE("3071-0000-6106","")</f>
        <v>3071-0000-6106</v>
      </c>
      <c r="B8538" s="4" t="s">
        <v>7720</v>
      </c>
      <c r="C8538" s="5">
        <v>41489</v>
      </c>
      <c r="D8538" s="5">
        <v>41549</v>
      </c>
      <c r="E8538" s="4" t="s">
        <v>1410</v>
      </c>
      <c r="F8538" s="4" t="s">
        <v>1410</v>
      </c>
    </row>
    <row r="8539" spans="1:6" x14ac:dyDescent="0.25">
      <c r="A8539" s="4" t="str">
        <f>CONCATENATE("3071-0000-6186","")</f>
        <v>3071-0000-6186</v>
      </c>
      <c r="B8539" s="4" t="s">
        <v>7735</v>
      </c>
      <c r="C8539" s="5">
        <v>41489</v>
      </c>
      <c r="D8539" s="5">
        <v>41549</v>
      </c>
      <c r="E8539" s="4" t="s">
        <v>1410</v>
      </c>
      <c r="F8539" s="4" t="s">
        <v>1410</v>
      </c>
    </row>
    <row r="8540" spans="1:6" x14ac:dyDescent="0.25">
      <c r="A8540" s="4" t="str">
        <f>CONCATENATE("3071-0000-8687","")</f>
        <v>3071-0000-8687</v>
      </c>
      <c r="B8540" s="4" t="s">
        <v>6451</v>
      </c>
      <c r="C8540" s="5">
        <v>41489</v>
      </c>
      <c r="D8540" s="5">
        <v>41549</v>
      </c>
      <c r="E8540" s="4" t="s">
        <v>5185</v>
      </c>
      <c r="F8540" s="4" t="s">
        <v>5292</v>
      </c>
    </row>
    <row r="8541" spans="1:6" x14ac:dyDescent="0.25">
      <c r="A8541" s="4" t="str">
        <f>CONCATENATE("3071-0000-8695","")</f>
        <v>3071-0000-8695</v>
      </c>
      <c r="B8541" s="4" t="s">
        <v>6459</v>
      </c>
      <c r="C8541" s="5">
        <v>41489</v>
      </c>
      <c r="D8541" s="5">
        <v>41549</v>
      </c>
      <c r="E8541" s="4" t="s">
        <v>5185</v>
      </c>
      <c r="F8541" s="4" t="s">
        <v>5292</v>
      </c>
    </row>
    <row r="8542" spans="1:6" x14ac:dyDescent="0.25">
      <c r="A8542" s="4" t="str">
        <f>CONCATENATE("3071-0000-9146","")</f>
        <v>3071-0000-9146</v>
      </c>
      <c r="B8542" s="4" t="s">
        <v>6462</v>
      </c>
      <c r="C8542" s="5">
        <v>41489</v>
      </c>
      <c r="D8542" s="5">
        <v>41549</v>
      </c>
      <c r="E8542" s="4" t="s">
        <v>5185</v>
      </c>
      <c r="F8542" s="4" t="s">
        <v>5292</v>
      </c>
    </row>
    <row r="8543" spans="1:6" x14ac:dyDescent="0.25">
      <c r="A8543" s="4" t="str">
        <f>CONCATENATE("3071-0000-2184","")</f>
        <v>3071-0000-2184</v>
      </c>
      <c r="B8543" s="4" t="s">
        <v>3671</v>
      </c>
      <c r="C8543" s="5">
        <v>41489</v>
      </c>
      <c r="D8543" s="5">
        <v>41549</v>
      </c>
      <c r="E8543" s="4" t="s">
        <v>2944</v>
      </c>
      <c r="F8543" s="4" t="s">
        <v>2945</v>
      </c>
    </row>
    <row r="8544" spans="1:6" x14ac:dyDescent="0.25">
      <c r="A8544" s="4" t="str">
        <f>CONCATENATE("3071-0000-2207","")</f>
        <v>3071-0000-2207</v>
      </c>
      <c r="B8544" s="4" t="s">
        <v>3664</v>
      </c>
      <c r="C8544" s="5">
        <v>41489</v>
      </c>
      <c r="D8544" s="5">
        <v>41549</v>
      </c>
      <c r="E8544" s="4" t="s">
        <v>2944</v>
      </c>
      <c r="F8544" s="4" t="s">
        <v>2945</v>
      </c>
    </row>
    <row r="8545" spans="1:6" x14ac:dyDescent="0.25">
      <c r="A8545" s="4" t="str">
        <f>CONCATENATE("3071-0000-2503","")</f>
        <v>3071-0000-2503</v>
      </c>
      <c r="B8545" s="4" t="s">
        <v>3622</v>
      </c>
      <c r="C8545" s="5">
        <v>41489</v>
      </c>
      <c r="D8545" s="5">
        <v>41549</v>
      </c>
      <c r="E8545" s="4" t="s">
        <v>2944</v>
      </c>
      <c r="F8545" s="4" t="s">
        <v>3567</v>
      </c>
    </row>
    <row r="8546" spans="1:6" x14ac:dyDescent="0.25">
      <c r="A8546" s="4" t="str">
        <f>CONCATENATE("3071-0000-2171","")</f>
        <v>3071-0000-2171</v>
      </c>
      <c r="B8546" s="4" t="s">
        <v>3645</v>
      </c>
      <c r="C8546" s="5">
        <v>41489</v>
      </c>
      <c r="D8546" s="5">
        <v>41549</v>
      </c>
      <c r="E8546" s="4" t="s">
        <v>2944</v>
      </c>
      <c r="F8546" s="4" t="s">
        <v>2945</v>
      </c>
    </row>
    <row r="8547" spans="1:6" x14ac:dyDescent="0.25">
      <c r="A8547" s="4" t="str">
        <f>CONCATENATE("3071-0000-2206","")</f>
        <v>3071-0000-2206</v>
      </c>
      <c r="B8547" s="4" t="s">
        <v>3660</v>
      </c>
      <c r="C8547" s="5">
        <v>41489</v>
      </c>
      <c r="D8547" s="5">
        <v>41549</v>
      </c>
      <c r="E8547" s="4" t="s">
        <v>2944</v>
      </c>
      <c r="F8547" s="4" t="s">
        <v>2945</v>
      </c>
    </row>
    <row r="8548" spans="1:6" x14ac:dyDescent="0.25">
      <c r="A8548" s="4" t="str">
        <f>CONCATENATE("3071-0000-2518","")</f>
        <v>3071-0000-2518</v>
      </c>
      <c r="B8548" s="4" t="s">
        <v>3610</v>
      </c>
      <c r="C8548" s="5">
        <v>41489</v>
      </c>
      <c r="D8548" s="5">
        <v>41549</v>
      </c>
      <c r="E8548" s="4" t="s">
        <v>2944</v>
      </c>
      <c r="F8548" s="4" t="s">
        <v>3567</v>
      </c>
    </row>
    <row r="8549" spans="1:6" x14ac:dyDescent="0.25">
      <c r="A8549" s="4" t="str">
        <f>CONCATENATE("3071-0000-2181","")</f>
        <v>3071-0000-2181</v>
      </c>
      <c r="B8549" s="4" t="s">
        <v>3666</v>
      </c>
      <c r="C8549" s="5">
        <v>41489</v>
      </c>
      <c r="D8549" s="5">
        <v>41549</v>
      </c>
      <c r="E8549" s="4" t="s">
        <v>2944</v>
      </c>
      <c r="F8549" s="4" t="s">
        <v>2945</v>
      </c>
    </row>
    <row r="8550" spans="1:6" x14ac:dyDescent="0.25">
      <c r="A8550" s="4" t="str">
        <f>CONCATENATE("3071-0000-2179","")</f>
        <v>3071-0000-2179</v>
      </c>
      <c r="B8550" s="4" t="s">
        <v>3662</v>
      </c>
      <c r="C8550" s="5">
        <v>41489</v>
      </c>
      <c r="D8550" s="5">
        <v>41549</v>
      </c>
      <c r="E8550" s="4" t="s">
        <v>2944</v>
      </c>
      <c r="F8550" s="4" t="s">
        <v>2945</v>
      </c>
    </row>
    <row r="8551" spans="1:6" x14ac:dyDescent="0.25">
      <c r="A8551" s="4" t="str">
        <f>CONCATENATE("3071-0000-2312","")</f>
        <v>3071-0000-2312</v>
      </c>
      <c r="B8551" s="4" t="s">
        <v>3650</v>
      </c>
      <c r="C8551" s="5">
        <v>41489</v>
      </c>
      <c r="D8551" s="5">
        <v>41549</v>
      </c>
      <c r="E8551" s="4" t="s">
        <v>2944</v>
      </c>
      <c r="F8551" s="4" t="s">
        <v>2945</v>
      </c>
    </row>
    <row r="8552" spans="1:6" x14ac:dyDescent="0.25">
      <c r="A8552" s="4" t="str">
        <f>CONCATENATE("3071-0000-5782","")</f>
        <v>3071-0000-5782</v>
      </c>
      <c r="B8552" s="4" t="s">
        <v>7516</v>
      </c>
      <c r="C8552" s="5">
        <v>41489</v>
      </c>
      <c r="D8552" s="5">
        <v>41549</v>
      </c>
      <c r="E8552" s="4" t="s">
        <v>5185</v>
      </c>
      <c r="F8552" s="4" t="s">
        <v>5185</v>
      </c>
    </row>
    <row r="8553" spans="1:6" x14ac:dyDescent="0.25">
      <c r="A8553" s="4" t="str">
        <f>CONCATENATE("3071-0000-2663","")</f>
        <v>3071-0000-2663</v>
      </c>
      <c r="B8553" s="4" t="s">
        <v>3381</v>
      </c>
      <c r="C8553" s="5">
        <v>41489</v>
      </c>
      <c r="D8553" s="5">
        <v>41549</v>
      </c>
      <c r="E8553" s="4" t="s">
        <v>1857</v>
      </c>
      <c r="F8553" s="4" t="s">
        <v>3306</v>
      </c>
    </row>
    <row r="8554" spans="1:6" x14ac:dyDescent="0.25">
      <c r="A8554" s="4" t="str">
        <f>CONCATENATE("3071-0000-1017","")</f>
        <v>3071-0000-1017</v>
      </c>
      <c r="B8554" s="4" t="s">
        <v>2007</v>
      </c>
      <c r="C8554" s="5">
        <v>41489</v>
      </c>
      <c r="D8554" s="5">
        <v>41549</v>
      </c>
      <c r="E8554" s="4" t="s">
        <v>1857</v>
      </c>
      <c r="F8554" s="4" t="s">
        <v>1857</v>
      </c>
    </row>
    <row r="8555" spans="1:6" x14ac:dyDescent="0.25">
      <c r="A8555" s="4" t="str">
        <f>CONCATENATE("3071-0000-8819","")</f>
        <v>3071-0000-8819</v>
      </c>
      <c r="B8555" s="4" t="s">
        <v>5923</v>
      </c>
      <c r="C8555" s="5">
        <v>41489</v>
      </c>
      <c r="D8555" s="5">
        <v>41549</v>
      </c>
      <c r="E8555" s="4" t="s">
        <v>5185</v>
      </c>
      <c r="F8555" s="4" t="s">
        <v>4188</v>
      </c>
    </row>
    <row r="8556" spans="1:6" x14ac:dyDescent="0.25">
      <c r="A8556" s="4" t="str">
        <f>CONCATENATE("3071-0000-9066","")</f>
        <v>3071-0000-9066</v>
      </c>
      <c r="B8556" s="4" t="s">
        <v>5939</v>
      </c>
      <c r="C8556" s="5">
        <v>41489</v>
      </c>
      <c r="D8556" s="5">
        <v>41549</v>
      </c>
      <c r="E8556" s="4" t="s">
        <v>5185</v>
      </c>
      <c r="F8556" s="4" t="s">
        <v>4188</v>
      </c>
    </row>
    <row r="8557" spans="1:6" x14ac:dyDescent="0.25">
      <c r="A8557" s="4" t="str">
        <f>CONCATENATE("3071-0000-0370","")</f>
        <v>3071-0000-0370</v>
      </c>
      <c r="B8557" s="4" t="s">
        <v>103</v>
      </c>
      <c r="C8557" s="5">
        <v>41489</v>
      </c>
      <c r="D8557" s="5">
        <v>41549</v>
      </c>
      <c r="E8557" s="4" t="s">
        <v>7</v>
      </c>
      <c r="F8557" s="4" t="s">
        <v>7</v>
      </c>
    </row>
    <row r="8558" spans="1:6" x14ac:dyDescent="0.25">
      <c r="A8558" s="4" t="str">
        <f>CONCATENATE("3071-0000-4295","")</f>
        <v>3071-0000-4295</v>
      </c>
      <c r="B8558" s="4" t="s">
        <v>8828</v>
      </c>
      <c r="C8558" s="5">
        <v>41489</v>
      </c>
      <c r="D8558" s="5">
        <v>41549</v>
      </c>
      <c r="E8558" s="4" t="s">
        <v>1410</v>
      </c>
      <c r="F8558" s="4" t="s">
        <v>8696</v>
      </c>
    </row>
    <row r="8559" spans="1:6" x14ac:dyDescent="0.25">
      <c r="A8559" s="4" t="str">
        <f>CONCATENATE("3071-0000-5169","")</f>
        <v>3071-0000-5169</v>
      </c>
      <c r="B8559" s="4" t="s">
        <v>8980</v>
      </c>
      <c r="C8559" s="5">
        <v>41489</v>
      </c>
      <c r="D8559" s="5">
        <v>41549</v>
      </c>
      <c r="E8559" s="4" t="s">
        <v>1410</v>
      </c>
      <c r="F8559" s="4" t="s">
        <v>8903</v>
      </c>
    </row>
    <row r="8560" spans="1:6" x14ac:dyDescent="0.25">
      <c r="A8560" s="4" t="str">
        <f>CONCATENATE("3071-0000-4285","")</f>
        <v>3071-0000-4285</v>
      </c>
      <c r="B8560" s="4" t="s">
        <v>8927</v>
      </c>
      <c r="C8560" s="5">
        <v>41489</v>
      </c>
      <c r="D8560" s="5">
        <v>41549</v>
      </c>
      <c r="E8560" s="4" t="s">
        <v>1410</v>
      </c>
      <c r="F8560" s="4" t="s">
        <v>8696</v>
      </c>
    </row>
    <row r="8561" spans="1:6" x14ac:dyDescent="0.25">
      <c r="A8561" s="4" t="str">
        <f>CONCATENATE("3071-0000-1134","")</f>
        <v>3071-0000-1134</v>
      </c>
      <c r="B8561" s="4" t="s">
        <v>2199</v>
      </c>
      <c r="C8561" s="5">
        <v>41489</v>
      </c>
      <c r="D8561" s="5">
        <v>41549</v>
      </c>
      <c r="E8561" s="4" t="s">
        <v>1857</v>
      </c>
      <c r="F8561" s="4" t="s">
        <v>2108</v>
      </c>
    </row>
    <row r="8562" spans="1:6" x14ac:dyDescent="0.25">
      <c r="A8562" s="4" t="str">
        <f>CONCATENATE("3071-0000-2497","")</f>
        <v>3071-0000-2497</v>
      </c>
      <c r="B8562" s="4" t="s">
        <v>3624</v>
      </c>
      <c r="C8562" s="5">
        <v>41489</v>
      </c>
      <c r="D8562" s="5">
        <v>41549</v>
      </c>
      <c r="E8562" s="4" t="s">
        <v>2944</v>
      </c>
      <c r="F8562" s="4" t="s">
        <v>3567</v>
      </c>
    </row>
    <row r="8563" spans="1:6" x14ac:dyDescent="0.25">
      <c r="A8563" s="4" t="str">
        <f>CONCATENATE("3071-0000-3832","")</f>
        <v>3071-0000-3832</v>
      </c>
      <c r="B8563" s="4" t="s">
        <v>3883</v>
      </c>
      <c r="C8563" s="5">
        <v>41489</v>
      </c>
      <c r="D8563" s="5">
        <v>41549</v>
      </c>
      <c r="E8563" s="4" t="s">
        <v>2944</v>
      </c>
      <c r="F8563" s="4" t="s">
        <v>3513</v>
      </c>
    </row>
    <row r="8564" spans="1:6" x14ac:dyDescent="0.25">
      <c r="A8564" s="4" t="str">
        <f>CONCATENATE("3071-0000-4287","")</f>
        <v>3071-0000-4287</v>
      </c>
      <c r="B8564" s="4" t="s">
        <v>8906</v>
      </c>
      <c r="C8564" s="5">
        <v>41489</v>
      </c>
      <c r="D8564" s="5">
        <v>41549</v>
      </c>
      <c r="E8564" s="4" t="s">
        <v>1410</v>
      </c>
      <c r="F8564" s="4" t="s">
        <v>8696</v>
      </c>
    </row>
    <row r="8565" spans="1:6" x14ac:dyDescent="0.25">
      <c r="A8565" s="4" t="str">
        <f>CONCATENATE("3071-0000-1278","")</f>
        <v>3071-0000-1278</v>
      </c>
      <c r="B8565" s="4" t="s">
        <v>2383</v>
      </c>
      <c r="C8565" s="5">
        <v>41489</v>
      </c>
      <c r="D8565" s="5">
        <v>41549</v>
      </c>
      <c r="E8565" s="4" t="s">
        <v>1381</v>
      </c>
      <c r="F8565" s="4" t="s">
        <v>2303</v>
      </c>
    </row>
    <row r="8566" spans="1:6" x14ac:dyDescent="0.25">
      <c r="A8566" s="4" t="str">
        <f>CONCATENATE("3071-0000-6224","")</f>
        <v>3071-0000-6224</v>
      </c>
      <c r="B8566" s="4" t="s">
        <v>7574</v>
      </c>
      <c r="C8566" s="5">
        <v>41489</v>
      </c>
      <c r="D8566" s="5">
        <v>41549</v>
      </c>
      <c r="E8566" s="4" t="s">
        <v>1410</v>
      </c>
      <c r="F8566" s="4" t="s">
        <v>1410</v>
      </c>
    </row>
    <row r="8567" spans="1:6" x14ac:dyDescent="0.25">
      <c r="A8567" s="4" t="str">
        <f>CONCATENATE("3071-0000-5819","")</f>
        <v>3071-0000-5819</v>
      </c>
      <c r="B8567" s="4" t="s">
        <v>7605</v>
      </c>
      <c r="C8567" s="5">
        <v>41489</v>
      </c>
      <c r="D8567" s="5">
        <v>41549</v>
      </c>
      <c r="E8567" s="4" t="s">
        <v>5185</v>
      </c>
      <c r="F8567" s="4" t="s">
        <v>5185</v>
      </c>
    </row>
    <row r="8568" spans="1:6" x14ac:dyDescent="0.25">
      <c r="A8568" s="4" t="str">
        <f>CONCATENATE("3071-0000-8546","")</f>
        <v>3071-0000-8546</v>
      </c>
      <c r="B8568" s="4" t="s">
        <v>6082</v>
      </c>
      <c r="C8568" s="5">
        <v>41489</v>
      </c>
      <c r="D8568" s="5">
        <v>41549</v>
      </c>
      <c r="E8568" s="4" t="s">
        <v>5185</v>
      </c>
      <c r="F8568" s="4" t="s">
        <v>5945</v>
      </c>
    </row>
    <row r="8569" spans="1:6" x14ac:dyDescent="0.25">
      <c r="A8569" s="4" t="str">
        <f>CONCATENATE("3071-0000-0436","")</f>
        <v>3071-0000-0436</v>
      </c>
      <c r="B8569" s="4" t="s">
        <v>236</v>
      </c>
      <c r="C8569" s="5">
        <v>41489</v>
      </c>
      <c r="D8569" s="5">
        <v>41549</v>
      </c>
      <c r="E8569" s="4" t="s">
        <v>7</v>
      </c>
      <c r="F8569" s="4" t="s">
        <v>7</v>
      </c>
    </row>
    <row r="8570" spans="1:6" x14ac:dyDescent="0.25">
      <c r="A8570" s="4" t="str">
        <f>CONCATENATE("3071-0000-7741","")</f>
        <v>3071-0000-7741</v>
      </c>
      <c r="B8570" s="4" t="s">
        <v>4349</v>
      </c>
      <c r="C8570" s="5">
        <v>41489</v>
      </c>
      <c r="D8570" s="5">
        <v>41549</v>
      </c>
      <c r="E8570" s="4" t="s">
        <v>1410</v>
      </c>
      <c r="F8570" s="4" t="s">
        <v>1410</v>
      </c>
    </row>
    <row r="8571" spans="1:6" x14ac:dyDescent="0.25">
      <c r="A8571" s="4" t="str">
        <f>CONCATENATE("3071-0000-6923","")</f>
        <v>3071-0000-6923</v>
      </c>
      <c r="B8571" s="4" t="s">
        <v>4595</v>
      </c>
      <c r="C8571" s="5">
        <v>41489</v>
      </c>
      <c r="D8571" s="5">
        <v>41549</v>
      </c>
      <c r="E8571" s="4" t="s">
        <v>1410</v>
      </c>
      <c r="F8571" s="4" t="s">
        <v>1410</v>
      </c>
    </row>
    <row r="8572" spans="1:6" x14ac:dyDescent="0.25">
      <c r="A8572" s="4" t="str">
        <f>CONCATENATE("3071-0000-4852","")</f>
        <v>3071-0000-4852</v>
      </c>
      <c r="B8572" s="4" t="s">
        <v>8924</v>
      </c>
      <c r="C8572" s="5">
        <v>41489</v>
      </c>
      <c r="D8572" s="5">
        <v>41549</v>
      </c>
      <c r="E8572" s="4" t="s">
        <v>1410</v>
      </c>
      <c r="F8572" s="4" t="s">
        <v>8696</v>
      </c>
    </row>
    <row r="8573" spans="1:6" x14ac:dyDescent="0.25">
      <c r="A8573" s="4" t="str">
        <f>CONCATENATE("3071-0000-4312","")</f>
        <v>3071-0000-4312</v>
      </c>
      <c r="B8573" s="4" t="s">
        <v>8882</v>
      </c>
      <c r="C8573" s="5">
        <v>41489</v>
      </c>
      <c r="D8573" s="5">
        <v>41549</v>
      </c>
      <c r="E8573" s="4" t="s">
        <v>1410</v>
      </c>
      <c r="F8573" s="4" t="s">
        <v>8696</v>
      </c>
    </row>
    <row r="8574" spans="1:6" x14ac:dyDescent="0.25">
      <c r="A8574" s="4" t="str">
        <f>CONCATENATE("3071-0000-1767","")</f>
        <v>3071-0000-1767</v>
      </c>
      <c r="B8574" s="4" t="s">
        <v>2604</v>
      </c>
      <c r="C8574" s="5">
        <v>41489</v>
      </c>
      <c r="D8574" s="5">
        <v>41549</v>
      </c>
      <c r="E8574" s="4" t="s">
        <v>1381</v>
      </c>
      <c r="F8574" s="4" t="s">
        <v>2303</v>
      </c>
    </row>
    <row r="8575" spans="1:6" x14ac:dyDescent="0.25">
      <c r="A8575" s="4" t="str">
        <f>CONCATENATE("3071-0000-4748","")</f>
        <v>3071-0000-4748</v>
      </c>
      <c r="B8575" s="4" t="s">
        <v>8944</v>
      </c>
      <c r="C8575" s="5">
        <v>41489</v>
      </c>
      <c r="D8575" s="5">
        <v>41549</v>
      </c>
      <c r="E8575" s="4" t="s">
        <v>1410</v>
      </c>
      <c r="F8575" s="4" t="s">
        <v>8696</v>
      </c>
    </row>
    <row r="8576" spans="1:6" x14ac:dyDescent="0.25">
      <c r="A8576" s="4" t="str">
        <f>CONCATENATE("3071-0000-1057","")</f>
        <v>3071-0000-1057</v>
      </c>
      <c r="B8576" s="4" t="s">
        <v>2182</v>
      </c>
      <c r="C8576" s="5">
        <v>41489</v>
      </c>
      <c r="D8576" s="5">
        <v>41549</v>
      </c>
      <c r="E8576" s="4" t="s">
        <v>1857</v>
      </c>
      <c r="F8576" s="4" t="s">
        <v>1857</v>
      </c>
    </row>
    <row r="8577" spans="1:6" x14ac:dyDescent="0.25">
      <c r="A8577" s="4" t="str">
        <f>CONCATENATE("3071-0000-5149","")</f>
        <v>3071-0000-5149</v>
      </c>
      <c r="B8577" s="4" t="s">
        <v>8989</v>
      </c>
      <c r="C8577" s="5">
        <v>41489</v>
      </c>
      <c r="D8577" s="5">
        <v>41549</v>
      </c>
      <c r="E8577" s="4" t="s">
        <v>1410</v>
      </c>
      <c r="F8577" s="4" t="s">
        <v>8903</v>
      </c>
    </row>
    <row r="8578" spans="1:6" x14ac:dyDescent="0.25">
      <c r="A8578" s="4" t="str">
        <f>CONCATENATE("3071-0000-1814","")</f>
        <v>3071-0000-1814</v>
      </c>
      <c r="B8578" s="4" t="s">
        <v>2666</v>
      </c>
      <c r="C8578" s="5">
        <v>41489</v>
      </c>
      <c r="D8578" s="5">
        <v>41549</v>
      </c>
      <c r="E8578" s="4" t="s">
        <v>1381</v>
      </c>
      <c r="F8578" s="4" t="s">
        <v>2662</v>
      </c>
    </row>
    <row r="8579" spans="1:6" x14ac:dyDescent="0.25">
      <c r="A8579" s="4" t="str">
        <f>CONCATENATE("3071-0000-1712","")</f>
        <v>3071-0000-1712</v>
      </c>
      <c r="B8579" s="4" t="s">
        <v>2925</v>
      </c>
      <c r="C8579" s="5">
        <v>41489</v>
      </c>
      <c r="D8579" s="5">
        <v>41549</v>
      </c>
      <c r="E8579" s="4" t="s">
        <v>1381</v>
      </c>
      <c r="F8579" s="4" t="s">
        <v>2662</v>
      </c>
    </row>
    <row r="8580" spans="1:6" x14ac:dyDescent="0.25">
      <c r="A8580" s="4" t="str">
        <f>CONCATENATE("3071-0000-3839","")</f>
        <v>3071-0000-3839</v>
      </c>
      <c r="B8580" s="4" t="s">
        <v>3889</v>
      </c>
      <c r="C8580" s="5">
        <v>41489</v>
      </c>
      <c r="D8580" s="5">
        <v>41549</v>
      </c>
      <c r="E8580" s="4" t="s">
        <v>2944</v>
      </c>
      <c r="F8580" s="4" t="s">
        <v>3513</v>
      </c>
    </row>
    <row r="8581" spans="1:6" x14ac:dyDescent="0.25">
      <c r="A8581" s="4" t="str">
        <f>CONCATENATE("3071-0000-9232","")</f>
        <v>3071-0000-9232</v>
      </c>
      <c r="B8581" s="4" t="s">
        <v>8321</v>
      </c>
      <c r="C8581" s="5">
        <v>41489</v>
      </c>
      <c r="D8581" s="5">
        <v>41549</v>
      </c>
      <c r="E8581" s="4" t="s">
        <v>5185</v>
      </c>
      <c r="F8581" s="4" t="s">
        <v>5185</v>
      </c>
    </row>
    <row r="8582" spans="1:6" x14ac:dyDescent="0.25">
      <c r="A8582" s="4" t="str">
        <f>CONCATENATE("3071-0000-9244","")</f>
        <v>3071-0000-9244</v>
      </c>
      <c r="B8582" s="4" t="s">
        <v>8322</v>
      </c>
      <c r="C8582" s="5">
        <v>41489</v>
      </c>
      <c r="D8582" s="5">
        <v>41549</v>
      </c>
      <c r="E8582" s="4" t="s">
        <v>5185</v>
      </c>
      <c r="F8582" s="4" t="s">
        <v>5185</v>
      </c>
    </row>
    <row r="8583" spans="1:6" x14ac:dyDescent="0.25">
      <c r="A8583" s="4" t="str">
        <f>CONCATENATE("3071-0000-4910","")</f>
        <v>3071-0000-4910</v>
      </c>
      <c r="B8583" s="4" t="s">
        <v>8787</v>
      </c>
      <c r="C8583" s="5">
        <v>41489</v>
      </c>
      <c r="D8583" s="5">
        <v>41549</v>
      </c>
      <c r="E8583" s="4" t="s">
        <v>7069</v>
      </c>
      <c r="F8583" s="4" t="s">
        <v>8783</v>
      </c>
    </row>
    <row r="8584" spans="1:6" x14ac:dyDescent="0.25">
      <c r="A8584" s="4" t="str">
        <f>CONCATENATE("3071-0000-5003","")</f>
        <v>3071-0000-5003</v>
      </c>
      <c r="B8584" s="4" t="s">
        <v>8918</v>
      </c>
      <c r="C8584" s="5">
        <v>41489</v>
      </c>
      <c r="D8584" s="5">
        <v>41549</v>
      </c>
      <c r="E8584" s="4" t="s">
        <v>1410</v>
      </c>
      <c r="F8584" s="4" t="s">
        <v>8903</v>
      </c>
    </row>
    <row r="8585" spans="1:6" x14ac:dyDescent="0.25">
      <c r="A8585" s="4" t="str">
        <f>CONCATENATE("3071-0000-1390","")</f>
        <v>3071-0000-1390</v>
      </c>
      <c r="B8585" s="4" t="s">
        <v>2569</v>
      </c>
      <c r="C8585" s="5">
        <v>41489</v>
      </c>
      <c r="D8585" s="5">
        <v>41549</v>
      </c>
      <c r="E8585" s="4" t="s">
        <v>1381</v>
      </c>
      <c r="F8585" s="4" t="s">
        <v>2303</v>
      </c>
    </row>
    <row r="8586" spans="1:6" x14ac:dyDescent="0.25">
      <c r="A8586" s="4" t="str">
        <f>CONCATENATE("3071-0000-4282","")</f>
        <v>3071-0000-4282</v>
      </c>
      <c r="B8586" s="4" t="s">
        <v>8922</v>
      </c>
      <c r="C8586" s="5">
        <v>41489</v>
      </c>
      <c r="D8586" s="5">
        <v>41549</v>
      </c>
      <c r="E8586" s="4" t="s">
        <v>1410</v>
      </c>
      <c r="F8586" s="4" t="s">
        <v>8696</v>
      </c>
    </row>
    <row r="8587" spans="1:6" x14ac:dyDescent="0.25">
      <c r="A8587" s="4" t="str">
        <f>CONCATENATE("3071-0000-8679","")</f>
        <v>3071-0000-8679</v>
      </c>
      <c r="B8587" s="4" t="s">
        <v>6403</v>
      </c>
      <c r="C8587" s="5">
        <v>41489</v>
      </c>
      <c r="D8587" s="5">
        <v>41549</v>
      </c>
      <c r="E8587" s="4" t="s">
        <v>5185</v>
      </c>
      <c r="F8587" s="4" t="s">
        <v>5945</v>
      </c>
    </row>
    <row r="8588" spans="1:6" x14ac:dyDescent="0.25">
      <c r="A8588" s="4" t="str">
        <f>CONCATENATE("3071-0000-1442","")</f>
        <v>3071-0000-1442</v>
      </c>
      <c r="B8588" s="4" t="s">
        <v>2675</v>
      </c>
      <c r="C8588" s="5">
        <v>41489</v>
      </c>
      <c r="D8588" s="5">
        <v>41549</v>
      </c>
      <c r="E8588" s="4" t="s">
        <v>1381</v>
      </c>
      <c r="F8588" s="4" t="s">
        <v>2303</v>
      </c>
    </row>
    <row r="8589" spans="1:6" x14ac:dyDescent="0.25">
      <c r="A8589" s="4" t="str">
        <f>CONCATENATE("3071-0000-1229","")</f>
        <v>3071-0000-1229</v>
      </c>
      <c r="B8589" s="4" t="s">
        <v>2278</v>
      </c>
      <c r="C8589" s="5">
        <v>41489</v>
      </c>
      <c r="D8589" s="5">
        <v>41549</v>
      </c>
      <c r="E8589" s="4" t="s">
        <v>1381</v>
      </c>
      <c r="F8589" s="4" t="s">
        <v>2259</v>
      </c>
    </row>
    <row r="8590" spans="1:6" x14ac:dyDescent="0.25">
      <c r="A8590" s="4" t="str">
        <f>CONCATENATE("3071-0000-6969","")</f>
        <v>3071-0000-6969</v>
      </c>
      <c r="B8590" s="4" t="s">
        <v>4438</v>
      </c>
      <c r="C8590" s="5">
        <v>41489</v>
      </c>
      <c r="D8590" s="5">
        <v>41549</v>
      </c>
      <c r="E8590" s="4" t="s">
        <v>1410</v>
      </c>
      <c r="F8590" s="4" t="s">
        <v>1410</v>
      </c>
    </row>
    <row r="8591" spans="1:6" x14ac:dyDescent="0.25">
      <c r="A8591" s="4" t="str">
        <f>CONCATENATE("3071-0000-5464","")</f>
        <v>3071-0000-5464</v>
      </c>
      <c r="B8591" s="4" t="s">
        <v>6691</v>
      </c>
      <c r="C8591" s="5">
        <v>41489</v>
      </c>
      <c r="D8591" s="5">
        <v>41549</v>
      </c>
      <c r="E8591" s="4" t="s">
        <v>5185</v>
      </c>
      <c r="F8591" s="4" t="s">
        <v>5185</v>
      </c>
    </row>
    <row r="8592" spans="1:6" x14ac:dyDescent="0.25">
      <c r="A8592" s="4" t="str">
        <f>CONCATENATE("3071-0000-7302","")</f>
        <v>3071-0000-7302</v>
      </c>
      <c r="B8592" s="4" t="s">
        <v>4569</v>
      </c>
      <c r="C8592" s="5">
        <v>41489</v>
      </c>
      <c r="D8592" s="5">
        <v>41549</v>
      </c>
      <c r="E8592" s="4" t="s">
        <v>1410</v>
      </c>
      <c r="F8592" s="4" t="s">
        <v>1410</v>
      </c>
    </row>
    <row r="8593" spans="1:6" x14ac:dyDescent="0.25">
      <c r="A8593" s="4" t="str">
        <f>CONCATENATE("3071-0000-1371","")</f>
        <v>3071-0000-1371</v>
      </c>
      <c r="B8593" s="4" t="s">
        <v>2537</v>
      </c>
      <c r="C8593" s="5">
        <v>41489</v>
      </c>
      <c r="D8593" s="5">
        <v>41549</v>
      </c>
      <c r="E8593" s="4" t="s">
        <v>1381</v>
      </c>
      <c r="F8593" s="4" t="s">
        <v>2303</v>
      </c>
    </row>
    <row r="8594" spans="1:6" x14ac:dyDescent="0.25">
      <c r="A8594" s="4" t="str">
        <f>CONCATENATE("3071-0000-7431","")</f>
        <v>3071-0000-7431</v>
      </c>
      <c r="B8594" s="4" t="s">
        <v>4390</v>
      </c>
      <c r="C8594" s="5">
        <v>41489</v>
      </c>
      <c r="D8594" s="5">
        <v>41549</v>
      </c>
      <c r="E8594" s="4" t="s">
        <v>1410</v>
      </c>
      <c r="F8594" s="4" t="s">
        <v>1410</v>
      </c>
    </row>
    <row r="8595" spans="1:6" x14ac:dyDescent="0.25">
      <c r="A8595" s="4" t="str">
        <f>CONCATENATE("3071-0000-5153","")</f>
        <v>3071-0000-5153</v>
      </c>
      <c r="B8595" s="4" t="s">
        <v>8990</v>
      </c>
      <c r="C8595" s="5">
        <v>41489</v>
      </c>
      <c r="D8595" s="5">
        <v>41549</v>
      </c>
      <c r="E8595" s="4" t="s">
        <v>1410</v>
      </c>
      <c r="F8595" s="4" t="s">
        <v>8903</v>
      </c>
    </row>
    <row r="8596" spans="1:6" x14ac:dyDescent="0.25">
      <c r="A8596" s="4" t="str">
        <f>CONCATENATE("3071-0000-5166","")</f>
        <v>3071-0000-5166</v>
      </c>
      <c r="B8596" s="4" t="s">
        <v>9010</v>
      </c>
      <c r="C8596" s="5">
        <v>41489</v>
      </c>
      <c r="D8596" s="5">
        <v>41549</v>
      </c>
      <c r="E8596" s="4" t="s">
        <v>1410</v>
      </c>
      <c r="F8596" s="4" t="s">
        <v>8903</v>
      </c>
    </row>
    <row r="8597" spans="1:6" x14ac:dyDescent="0.25">
      <c r="A8597" s="4" t="str">
        <f>CONCATENATE("3071-0000-4288","")</f>
        <v>3071-0000-4288</v>
      </c>
      <c r="B8597" s="4" t="s">
        <v>8915</v>
      </c>
      <c r="C8597" s="5">
        <v>41489</v>
      </c>
      <c r="D8597" s="5">
        <v>41549</v>
      </c>
      <c r="E8597" s="4" t="s">
        <v>1410</v>
      </c>
      <c r="F8597" s="4" t="s">
        <v>8696</v>
      </c>
    </row>
    <row r="8598" spans="1:6" x14ac:dyDescent="0.25">
      <c r="A8598" s="4" t="str">
        <f>CONCATENATE("3071-0000-5175","")</f>
        <v>3071-0000-5175</v>
      </c>
      <c r="B8598" s="4" t="s">
        <v>8998</v>
      </c>
      <c r="C8598" s="5">
        <v>41489</v>
      </c>
      <c r="D8598" s="5">
        <v>41549</v>
      </c>
      <c r="E8598" s="4" t="s">
        <v>1410</v>
      </c>
      <c r="F8598" s="4" t="s">
        <v>8903</v>
      </c>
    </row>
    <row r="8599" spans="1:6" x14ac:dyDescent="0.25">
      <c r="A8599" s="4" t="str">
        <f>CONCATENATE("3071-0000-5154","")</f>
        <v>3071-0000-5154</v>
      </c>
      <c r="B8599" s="4" t="s">
        <v>8983</v>
      </c>
      <c r="C8599" s="5">
        <v>41489</v>
      </c>
      <c r="D8599" s="5">
        <v>41549</v>
      </c>
      <c r="E8599" s="4" t="s">
        <v>1410</v>
      </c>
      <c r="F8599" s="4" t="s">
        <v>8903</v>
      </c>
    </row>
    <row r="8600" spans="1:6" x14ac:dyDescent="0.25">
      <c r="A8600" s="4" t="str">
        <f>CONCATENATE("3071-0000-5174","")</f>
        <v>3071-0000-5174</v>
      </c>
      <c r="B8600" s="4" t="s">
        <v>9003</v>
      </c>
      <c r="C8600" s="5">
        <v>41489</v>
      </c>
      <c r="D8600" s="5">
        <v>41549</v>
      </c>
      <c r="E8600" s="4" t="s">
        <v>1410</v>
      </c>
      <c r="F8600" s="4" t="s">
        <v>8903</v>
      </c>
    </row>
    <row r="8601" spans="1:6" x14ac:dyDescent="0.25">
      <c r="A8601" s="4" t="str">
        <f>CONCATENATE("3071-0000-1666","")</f>
        <v>3071-0000-1666</v>
      </c>
      <c r="B8601" s="4" t="s">
        <v>2584</v>
      </c>
      <c r="C8601" s="5">
        <v>41489</v>
      </c>
      <c r="D8601" s="5">
        <v>41549</v>
      </c>
      <c r="E8601" s="4" t="s">
        <v>1381</v>
      </c>
      <c r="F8601" s="4" t="s">
        <v>2303</v>
      </c>
    </row>
    <row r="8602" spans="1:6" x14ac:dyDescent="0.25">
      <c r="A8602" s="4" t="str">
        <f>CONCATENATE("3071-0000-0047","")</f>
        <v>3071-0000-0047</v>
      </c>
      <c r="B8602" s="4" t="s">
        <v>91</v>
      </c>
      <c r="C8602" s="5">
        <v>41489</v>
      </c>
      <c r="D8602" s="5">
        <v>41549</v>
      </c>
      <c r="E8602" s="4" t="s">
        <v>7</v>
      </c>
      <c r="F8602" s="4" t="s">
        <v>7</v>
      </c>
    </row>
    <row r="8603" spans="1:6" x14ac:dyDescent="0.25">
      <c r="A8603" s="4" t="str">
        <f>CONCATENATE("3071-0000-8758","")</f>
        <v>3071-0000-8758</v>
      </c>
      <c r="B8603" s="4" t="s">
        <v>6374</v>
      </c>
      <c r="C8603" s="5">
        <v>41489</v>
      </c>
      <c r="D8603" s="5">
        <v>41549</v>
      </c>
      <c r="E8603" s="4" t="s">
        <v>5185</v>
      </c>
      <c r="F8603" s="4" t="s">
        <v>5292</v>
      </c>
    </row>
    <row r="8604" spans="1:6" x14ac:dyDescent="0.25">
      <c r="A8604" s="4" t="str">
        <f>CONCATENATE("3071-0000-6096","")</f>
        <v>3071-0000-6096</v>
      </c>
      <c r="B8604" s="4" t="s">
        <v>7724</v>
      </c>
      <c r="C8604" s="5">
        <v>41489</v>
      </c>
      <c r="D8604" s="5">
        <v>41549</v>
      </c>
      <c r="E8604" s="4" t="s">
        <v>1410</v>
      </c>
      <c r="F8604" s="4" t="s">
        <v>1410</v>
      </c>
    </row>
    <row r="8605" spans="1:6" x14ac:dyDescent="0.25">
      <c r="A8605" s="4" t="str">
        <f>CONCATENATE("3071-0000-7606","")</f>
        <v>3071-0000-7606</v>
      </c>
      <c r="B8605" s="4" t="s">
        <v>4339</v>
      </c>
      <c r="C8605" s="5">
        <v>41489</v>
      </c>
      <c r="D8605" s="5">
        <v>41549</v>
      </c>
      <c r="E8605" s="4" t="s">
        <v>1410</v>
      </c>
      <c r="F8605" s="4" t="s">
        <v>1410</v>
      </c>
    </row>
    <row r="8606" spans="1:6" x14ac:dyDescent="0.25">
      <c r="A8606" s="4" t="str">
        <f>CONCATENATE("3071-0000-1445","")</f>
        <v>3071-0000-1445</v>
      </c>
      <c r="B8606" s="4" t="s">
        <v>2682</v>
      </c>
      <c r="C8606" s="5">
        <v>41489</v>
      </c>
      <c r="D8606" s="5">
        <v>41549</v>
      </c>
      <c r="E8606" s="4" t="s">
        <v>1381</v>
      </c>
      <c r="F8606" s="4" t="s">
        <v>2303</v>
      </c>
    </row>
    <row r="8607" spans="1:6" x14ac:dyDescent="0.25">
      <c r="A8607" s="4" t="str">
        <f>CONCATENATE("3071-0000-0027","")</f>
        <v>3071-0000-0027</v>
      </c>
      <c r="B8607" s="4" t="s">
        <v>45</v>
      </c>
      <c r="C8607" s="5">
        <v>41489</v>
      </c>
      <c r="D8607" s="5">
        <v>41549</v>
      </c>
      <c r="E8607" s="4" t="s">
        <v>7</v>
      </c>
      <c r="F8607" s="4" t="s">
        <v>7</v>
      </c>
    </row>
    <row r="8608" spans="1:6" x14ac:dyDescent="0.25">
      <c r="A8608" s="4" t="str">
        <f>CONCATENATE("3071-0000-0028","")</f>
        <v>3071-0000-0028</v>
      </c>
      <c r="B8608" s="4" t="s">
        <v>46</v>
      </c>
      <c r="C8608" s="5">
        <v>41489</v>
      </c>
      <c r="D8608" s="5">
        <v>41549</v>
      </c>
      <c r="E8608" s="4" t="s">
        <v>7</v>
      </c>
      <c r="F8608" s="4" t="s">
        <v>7</v>
      </c>
    </row>
    <row r="8609" spans="1:6" x14ac:dyDescent="0.25">
      <c r="A8609" s="4" t="str">
        <f>CONCATENATE("3071-0000-8910","")</f>
        <v>3071-0000-8910</v>
      </c>
      <c r="B8609" s="4" t="s">
        <v>5318</v>
      </c>
      <c r="C8609" s="5">
        <v>41489</v>
      </c>
      <c r="D8609" s="5">
        <v>41549</v>
      </c>
      <c r="E8609" s="4" t="s">
        <v>1410</v>
      </c>
      <c r="F8609" s="4" t="s">
        <v>4616</v>
      </c>
    </row>
    <row r="8610" spans="1:6" x14ac:dyDescent="0.25">
      <c r="A8610" s="4" t="str">
        <f>CONCATENATE("3071-0000-5355","")</f>
        <v>3071-0000-5355</v>
      </c>
      <c r="B8610" s="4" t="s">
        <v>6857</v>
      </c>
      <c r="C8610" s="5">
        <v>41489</v>
      </c>
      <c r="D8610" s="5">
        <v>41549</v>
      </c>
      <c r="E8610" s="4" t="s">
        <v>5185</v>
      </c>
      <c r="F8610" s="4" t="s">
        <v>5185</v>
      </c>
    </row>
    <row r="8611" spans="1:6" x14ac:dyDescent="0.25">
      <c r="A8611" s="4" t="str">
        <f>CONCATENATE("3071-0000-5221","")</f>
        <v>3071-0000-5221</v>
      </c>
      <c r="B8611" s="4" t="s">
        <v>6660</v>
      </c>
      <c r="C8611" s="5">
        <v>41489</v>
      </c>
      <c r="D8611" s="5">
        <v>41549</v>
      </c>
      <c r="E8611" s="4" t="s">
        <v>5185</v>
      </c>
      <c r="F8611" s="4" t="s">
        <v>5185</v>
      </c>
    </row>
    <row r="8612" spans="1:6" x14ac:dyDescent="0.25">
      <c r="A8612" s="4" t="str">
        <f>CONCATENATE("3071-0000-9123","")</f>
        <v>3071-0000-9123</v>
      </c>
      <c r="B8612" s="4" t="s">
        <v>5681</v>
      </c>
      <c r="C8612" s="5">
        <v>41489</v>
      </c>
      <c r="D8612" s="5">
        <v>41549</v>
      </c>
      <c r="E8612" s="4" t="s">
        <v>5185</v>
      </c>
      <c r="F8612" s="4" t="s">
        <v>5250</v>
      </c>
    </row>
    <row r="8613" spans="1:6" x14ac:dyDescent="0.25">
      <c r="A8613" s="4" t="str">
        <f>CONCATENATE("3071-0000-7212","")</f>
        <v>3071-0000-7212</v>
      </c>
      <c r="B8613" s="4" t="s">
        <v>5021</v>
      </c>
      <c r="C8613" s="5">
        <v>41489</v>
      </c>
      <c r="D8613" s="5">
        <v>41549</v>
      </c>
      <c r="E8613" s="4" t="s">
        <v>1410</v>
      </c>
      <c r="F8613" s="4" t="s">
        <v>1410</v>
      </c>
    </row>
    <row r="8614" spans="1:6" x14ac:dyDescent="0.25">
      <c r="A8614" s="4" t="str">
        <f>CONCATENATE("3071-0000-6921","")</f>
        <v>3071-0000-6921</v>
      </c>
      <c r="B8614" s="4" t="s">
        <v>4612</v>
      </c>
      <c r="C8614" s="5">
        <v>41489</v>
      </c>
      <c r="D8614" s="5">
        <v>41549</v>
      </c>
      <c r="E8614" s="4" t="s">
        <v>1410</v>
      </c>
      <c r="F8614" s="4" t="s">
        <v>1410</v>
      </c>
    </row>
    <row r="8615" spans="1:6" x14ac:dyDescent="0.25">
      <c r="A8615" s="4" t="str">
        <f>CONCATENATE("3071-0000-5352","")</f>
        <v>3071-0000-5352</v>
      </c>
      <c r="B8615" s="4" t="s">
        <v>6854</v>
      </c>
      <c r="C8615" s="5">
        <v>41489</v>
      </c>
      <c r="D8615" s="5">
        <v>41549</v>
      </c>
      <c r="E8615" s="4" t="s">
        <v>5185</v>
      </c>
      <c r="F8615" s="4" t="s">
        <v>5185</v>
      </c>
    </row>
    <row r="8616" spans="1:6" x14ac:dyDescent="0.25">
      <c r="A8616" s="4" t="str">
        <f>CONCATENATE("3071-0000-8739","")</f>
        <v>3071-0000-8739</v>
      </c>
      <c r="B8616" s="4" t="s">
        <v>6536</v>
      </c>
      <c r="C8616" s="5">
        <v>41489</v>
      </c>
      <c r="D8616" s="5">
        <v>41549</v>
      </c>
      <c r="E8616" s="4" t="s">
        <v>5185</v>
      </c>
      <c r="F8616" s="4" t="s">
        <v>5292</v>
      </c>
    </row>
    <row r="8617" spans="1:6" x14ac:dyDescent="0.25">
      <c r="A8617" s="4" t="str">
        <f>CONCATENATE("3071-0000-8150","")</f>
        <v>3071-0000-8150</v>
      </c>
      <c r="B8617" s="4" t="s">
        <v>5402</v>
      </c>
      <c r="C8617" s="5">
        <v>41489</v>
      </c>
      <c r="D8617" s="5">
        <v>41549</v>
      </c>
      <c r="E8617" s="4" t="s">
        <v>5185</v>
      </c>
      <c r="F8617" s="4" t="s">
        <v>5185</v>
      </c>
    </row>
    <row r="8618" spans="1:6" x14ac:dyDescent="0.25">
      <c r="A8618" s="4" t="str">
        <f>CONCATENATE("3071-0000-5456","")</f>
        <v>3071-0000-5456</v>
      </c>
      <c r="B8618" s="4" t="s">
        <v>6890</v>
      </c>
      <c r="C8618" s="5">
        <v>41489</v>
      </c>
      <c r="D8618" s="5">
        <v>41549</v>
      </c>
      <c r="E8618" s="4" t="s">
        <v>5185</v>
      </c>
      <c r="F8618" s="4" t="s">
        <v>5185</v>
      </c>
    </row>
    <row r="8619" spans="1:6" x14ac:dyDescent="0.25">
      <c r="A8619" s="4" t="str">
        <f>CONCATENATE("3071-0000-1114","")</f>
        <v>3071-0000-1114</v>
      </c>
      <c r="B8619" s="4" t="s">
        <v>1937</v>
      </c>
      <c r="C8619" s="5">
        <v>41489</v>
      </c>
      <c r="D8619" s="5">
        <v>41549</v>
      </c>
      <c r="E8619" s="4" t="s">
        <v>1857</v>
      </c>
      <c r="F8619" s="4" t="s">
        <v>1857</v>
      </c>
    </row>
    <row r="8620" spans="1:6" x14ac:dyDescent="0.25">
      <c r="A8620" s="4" t="str">
        <f>CONCATENATE("3071-0000-1382","")</f>
        <v>3071-0000-1382</v>
      </c>
      <c r="B8620" s="4" t="s">
        <v>2557</v>
      </c>
      <c r="C8620" s="5">
        <v>41489</v>
      </c>
      <c r="D8620" s="5">
        <v>41549</v>
      </c>
      <c r="E8620" s="4" t="s">
        <v>1381</v>
      </c>
      <c r="F8620" s="4" t="s">
        <v>2303</v>
      </c>
    </row>
    <row r="8621" spans="1:6" x14ac:dyDescent="0.25">
      <c r="A8621" s="4" t="str">
        <f>CONCATENATE("3071-0000-1709","")</f>
        <v>3071-0000-1709</v>
      </c>
      <c r="B8621" s="4" t="s">
        <v>2593</v>
      </c>
      <c r="C8621" s="5">
        <v>41489</v>
      </c>
      <c r="D8621" s="5">
        <v>41549</v>
      </c>
      <c r="E8621" s="4" t="s">
        <v>1381</v>
      </c>
      <c r="F8621" s="4" t="s">
        <v>2303</v>
      </c>
    </row>
    <row r="8622" spans="1:6" x14ac:dyDescent="0.25">
      <c r="A8622" s="4" t="str">
        <f>CONCATENATE("3071-0000-1365","")</f>
        <v>3071-0000-1365</v>
      </c>
      <c r="B8622" s="4" t="s">
        <v>2518</v>
      </c>
      <c r="C8622" s="5">
        <v>41489</v>
      </c>
      <c r="D8622" s="5">
        <v>41549</v>
      </c>
      <c r="E8622" s="4" t="s">
        <v>1381</v>
      </c>
      <c r="F8622" s="4" t="s">
        <v>2303</v>
      </c>
    </row>
    <row r="8623" spans="1:6" x14ac:dyDescent="0.25">
      <c r="A8623" s="4" t="str">
        <f>CONCATENATE("3071-0000-7442","")</f>
        <v>3071-0000-7442</v>
      </c>
      <c r="B8623" s="4" t="s">
        <v>5114</v>
      </c>
      <c r="C8623" s="5">
        <v>41489</v>
      </c>
      <c r="D8623" s="5">
        <v>41549</v>
      </c>
      <c r="E8623" s="4" t="s">
        <v>1410</v>
      </c>
      <c r="F8623" s="4" t="s">
        <v>4616</v>
      </c>
    </row>
    <row r="8624" spans="1:6" x14ac:dyDescent="0.25">
      <c r="A8624" s="4" t="str">
        <f>CONCATENATE("3071-0000-6180","")</f>
        <v>3071-0000-6180</v>
      </c>
      <c r="B8624" s="4" t="s">
        <v>7734</v>
      </c>
      <c r="C8624" s="5">
        <v>41489</v>
      </c>
      <c r="D8624" s="5">
        <v>41549</v>
      </c>
      <c r="E8624" s="4" t="s">
        <v>1410</v>
      </c>
      <c r="F8624" s="4" t="s">
        <v>1410</v>
      </c>
    </row>
    <row r="8625" spans="1:6" x14ac:dyDescent="0.25">
      <c r="A8625" s="4" t="str">
        <f>CONCATENATE("3071-0000-6837","")</f>
        <v>3071-0000-6837</v>
      </c>
      <c r="B8625" s="4" t="s">
        <v>7800</v>
      </c>
      <c r="C8625" s="5">
        <v>41489</v>
      </c>
      <c r="D8625" s="5">
        <v>41549</v>
      </c>
      <c r="E8625" s="4" t="s">
        <v>1410</v>
      </c>
      <c r="F8625" s="4" t="s">
        <v>4655</v>
      </c>
    </row>
    <row r="8626" spans="1:6" x14ac:dyDescent="0.25">
      <c r="A8626" s="4" t="str">
        <f>CONCATENATE("3071-0000-0235","")</f>
        <v>3071-0000-0235</v>
      </c>
      <c r="B8626" s="4" t="s">
        <v>524</v>
      </c>
      <c r="C8626" s="5">
        <v>41489</v>
      </c>
      <c r="D8626" s="5">
        <v>41549</v>
      </c>
      <c r="E8626" s="4" t="s">
        <v>7</v>
      </c>
      <c r="F8626" s="4" t="s">
        <v>7</v>
      </c>
    </row>
    <row r="8627" spans="1:6" x14ac:dyDescent="0.25">
      <c r="A8627" s="4" t="str">
        <f>CONCATENATE("3071-0000-2444","")</f>
        <v>3071-0000-2444</v>
      </c>
      <c r="B8627" s="4" t="s">
        <v>3025</v>
      </c>
      <c r="C8627" s="5">
        <v>41489</v>
      </c>
      <c r="D8627" s="5">
        <v>41549</v>
      </c>
      <c r="E8627" s="4" t="s">
        <v>2944</v>
      </c>
      <c r="F8627" s="4" t="s">
        <v>2945</v>
      </c>
    </row>
    <row r="8628" spans="1:6" x14ac:dyDescent="0.25">
      <c r="A8628" s="4" t="str">
        <f>CONCATENATE("3071-0000-1111","")</f>
        <v>3071-0000-1111</v>
      </c>
      <c r="B8628" s="4" t="s">
        <v>2299</v>
      </c>
      <c r="C8628" s="5">
        <v>41489</v>
      </c>
      <c r="D8628" s="5">
        <v>41549</v>
      </c>
      <c r="E8628" s="4" t="s">
        <v>1381</v>
      </c>
      <c r="F8628" s="4" t="s">
        <v>2259</v>
      </c>
    </row>
    <row r="8629" spans="1:6" x14ac:dyDescent="0.25">
      <c r="A8629" s="4" t="str">
        <f>CONCATENATE("3071-0000-0956","")</f>
        <v>3071-0000-0956</v>
      </c>
      <c r="B8629" s="4" t="s">
        <v>2169</v>
      </c>
      <c r="C8629" s="5">
        <v>41489</v>
      </c>
      <c r="D8629" s="5">
        <v>41549</v>
      </c>
      <c r="E8629" s="4" t="s">
        <v>1857</v>
      </c>
      <c r="F8629" s="4" t="s">
        <v>1857</v>
      </c>
    </row>
    <row r="8630" spans="1:6" x14ac:dyDescent="0.25">
      <c r="A8630" s="4" t="str">
        <f>CONCATENATE("3071-0000-1044","")</f>
        <v>3071-0000-1044</v>
      </c>
      <c r="B8630" s="4" t="s">
        <v>2274</v>
      </c>
      <c r="C8630" s="5">
        <v>41489</v>
      </c>
      <c r="D8630" s="5">
        <v>41549</v>
      </c>
      <c r="E8630" s="4" t="s">
        <v>1857</v>
      </c>
      <c r="F8630" s="4" t="s">
        <v>1857</v>
      </c>
    </row>
    <row r="8631" spans="1:6" x14ac:dyDescent="0.25">
      <c r="A8631" s="4" t="str">
        <f>CONCATENATE("3071-0000-1112","")</f>
        <v>3071-0000-1112</v>
      </c>
      <c r="B8631" s="4" t="s">
        <v>2165</v>
      </c>
      <c r="C8631" s="5">
        <v>41489</v>
      </c>
      <c r="D8631" s="5">
        <v>41549</v>
      </c>
      <c r="E8631" s="4" t="s">
        <v>1857</v>
      </c>
      <c r="F8631" s="4" t="s">
        <v>2144</v>
      </c>
    </row>
    <row r="8632" spans="1:6" x14ac:dyDescent="0.25">
      <c r="A8632" s="4" t="str">
        <f>CONCATENATE("3071-0000-2606","")</f>
        <v>3071-0000-2606</v>
      </c>
      <c r="B8632" s="4" t="s">
        <v>3682</v>
      </c>
      <c r="C8632" s="5">
        <v>41489</v>
      </c>
      <c r="D8632" s="5">
        <v>41549</v>
      </c>
      <c r="E8632" s="4" t="s">
        <v>2944</v>
      </c>
      <c r="F8632" s="4" t="s">
        <v>3164</v>
      </c>
    </row>
    <row r="8633" spans="1:6" x14ac:dyDescent="0.25">
      <c r="A8633" s="4" t="str">
        <f>CONCATENATE("3071-0000-0118","")</f>
        <v>3071-0000-0118</v>
      </c>
      <c r="B8633" s="4" t="s">
        <v>252</v>
      </c>
      <c r="C8633" s="5">
        <v>41489</v>
      </c>
      <c r="D8633" s="5">
        <v>41549</v>
      </c>
      <c r="E8633" s="4" t="s">
        <v>7</v>
      </c>
      <c r="F8633" s="4" t="s">
        <v>7</v>
      </c>
    </row>
    <row r="8634" spans="1:6" x14ac:dyDescent="0.25">
      <c r="A8634" s="4" t="str">
        <f>CONCATENATE("3071-0000-3592","")</f>
        <v>3071-0000-3592</v>
      </c>
      <c r="B8634" s="4" t="s">
        <v>1782</v>
      </c>
      <c r="C8634" s="5">
        <v>41489</v>
      </c>
      <c r="D8634" s="5">
        <v>41549</v>
      </c>
      <c r="E8634" s="4" t="s">
        <v>1410</v>
      </c>
      <c r="F8634" s="4" t="s">
        <v>1411</v>
      </c>
    </row>
    <row r="8635" spans="1:6" x14ac:dyDescent="0.25">
      <c r="A8635" s="4" t="str">
        <f>CONCATENATE("3071-0000-1202","")</f>
        <v>3071-0000-1202</v>
      </c>
      <c r="B8635" s="4" t="s">
        <v>2260</v>
      </c>
      <c r="C8635" s="5">
        <v>41489</v>
      </c>
      <c r="D8635" s="5">
        <v>41549</v>
      </c>
      <c r="E8635" s="4" t="s">
        <v>1381</v>
      </c>
      <c r="F8635" s="4" t="s">
        <v>2259</v>
      </c>
    </row>
    <row r="8636" spans="1:6" x14ac:dyDescent="0.25">
      <c r="A8636" s="4" t="str">
        <f>CONCATENATE("3071-0000-2554","")</f>
        <v>3071-0000-2554</v>
      </c>
      <c r="B8636" s="4" t="s">
        <v>3026</v>
      </c>
      <c r="C8636" s="5">
        <v>41489</v>
      </c>
      <c r="D8636" s="5">
        <v>41549</v>
      </c>
      <c r="E8636" s="4" t="s">
        <v>2944</v>
      </c>
      <c r="F8636" s="4" t="s">
        <v>2945</v>
      </c>
    </row>
    <row r="8637" spans="1:6" x14ac:dyDescent="0.25">
      <c r="A8637" s="4" t="str">
        <f>CONCATENATE("3071-0000-2320","")</f>
        <v>3071-0000-2320</v>
      </c>
      <c r="B8637" s="4" t="s">
        <v>3438</v>
      </c>
      <c r="C8637" s="5">
        <v>41489</v>
      </c>
      <c r="D8637" s="5">
        <v>41549</v>
      </c>
      <c r="E8637" s="4" t="s">
        <v>2944</v>
      </c>
      <c r="F8637" s="4" t="s">
        <v>2945</v>
      </c>
    </row>
    <row r="8638" spans="1:6" x14ac:dyDescent="0.25">
      <c r="A8638" s="4" t="str">
        <f>CONCATENATE("3071-0000-6202","")</f>
        <v>3071-0000-6202</v>
      </c>
      <c r="B8638" s="4" t="s">
        <v>7206</v>
      </c>
      <c r="C8638" s="5">
        <v>41489</v>
      </c>
      <c r="D8638" s="5">
        <v>41549</v>
      </c>
      <c r="E8638" s="4" t="s">
        <v>7069</v>
      </c>
      <c r="F8638" s="4" t="s">
        <v>7183</v>
      </c>
    </row>
    <row r="8639" spans="1:6" x14ac:dyDescent="0.25">
      <c r="A8639" s="4" t="str">
        <f>CONCATENATE("3071-0000-1385","")</f>
        <v>3071-0000-1385</v>
      </c>
      <c r="B8639" s="4" t="s">
        <v>2562</v>
      </c>
      <c r="C8639" s="5">
        <v>41489</v>
      </c>
      <c r="D8639" s="5">
        <v>41549</v>
      </c>
      <c r="E8639" s="4" t="s">
        <v>1381</v>
      </c>
      <c r="F8639" s="4" t="s">
        <v>2303</v>
      </c>
    </row>
    <row r="8640" spans="1:6" x14ac:dyDescent="0.25">
      <c r="A8640" s="4" t="str">
        <f>CONCATENATE("3071-0000-0942","")</f>
        <v>3071-0000-0942</v>
      </c>
      <c r="B8640" s="4" t="s">
        <v>2104</v>
      </c>
      <c r="C8640" s="5">
        <v>41489</v>
      </c>
      <c r="D8640" s="5">
        <v>41549</v>
      </c>
      <c r="E8640" s="4" t="s">
        <v>1857</v>
      </c>
      <c r="F8640" s="4" t="s">
        <v>1857</v>
      </c>
    </row>
    <row r="8641" spans="1:6" x14ac:dyDescent="0.25">
      <c r="A8641" s="4" t="str">
        <f>CONCATENATE("3071-0000-6956","")</f>
        <v>3071-0000-6956</v>
      </c>
      <c r="B8641" s="4" t="s">
        <v>4552</v>
      </c>
      <c r="C8641" s="5">
        <v>41489</v>
      </c>
      <c r="D8641" s="5">
        <v>41549</v>
      </c>
      <c r="E8641" s="4" t="s">
        <v>1410</v>
      </c>
      <c r="F8641" s="4" t="s">
        <v>1410</v>
      </c>
    </row>
    <row r="8642" spans="1:6" x14ac:dyDescent="0.25">
      <c r="A8642" s="4" t="str">
        <f>CONCATENATE("3071-0000-3833","")</f>
        <v>3071-0000-3833</v>
      </c>
      <c r="B8642" s="4" t="s">
        <v>3884</v>
      </c>
      <c r="C8642" s="5">
        <v>41489</v>
      </c>
      <c r="D8642" s="5">
        <v>41549</v>
      </c>
      <c r="E8642" s="4" t="s">
        <v>2944</v>
      </c>
      <c r="F8642" s="4" t="s">
        <v>3513</v>
      </c>
    </row>
    <row r="8643" spans="1:6" x14ac:dyDescent="0.25">
      <c r="A8643" s="4" t="str">
        <f>CONCATENATE("3071-0000-5159","")</f>
        <v>3071-0000-5159</v>
      </c>
      <c r="B8643" s="4" t="s">
        <v>8985</v>
      </c>
      <c r="C8643" s="5">
        <v>41489</v>
      </c>
      <c r="D8643" s="5">
        <v>41549</v>
      </c>
      <c r="E8643" s="4" t="s">
        <v>1410</v>
      </c>
      <c r="F8643" s="4" t="s">
        <v>8903</v>
      </c>
    </row>
    <row r="8644" spans="1:6" x14ac:dyDescent="0.25">
      <c r="A8644" s="4" t="str">
        <f>CONCATENATE("3071-0000-6109","")</f>
        <v>3071-0000-6109</v>
      </c>
      <c r="B8644" s="4" t="s">
        <v>7709</v>
      </c>
      <c r="C8644" s="5">
        <v>41489</v>
      </c>
      <c r="D8644" s="5">
        <v>41549</v>
      </c>
      <c r="E8644" s="4" t="s">
        <v>1410</v>
      </c>
      <c r="F8644" s="4" t="s">
        <v>1410</v>
      </c>
    </row>
    <row r="8645" spans="1:6" x14ac:dyDescent="0.25">
      <c r="A8645" s="4" t="str">
        <f>CONCATENATE("3071-0000-3182","")</f>
        <v>3071-0000-3182</v>
      </c>
      <c r="B8645" s="4" t="s">
        <v>1293</v>
      </c>
      <c r="C8645" s="5">
        <v>41489</v>
      </c>
      <c r="D8645" s="5">
        <v>41549</v>
      </c>
      <c r="E8645" s="4" t="s">
        <v>7</v>
      </c>
      <c r="F8645" s="4" t="s">
        <v>808</v>
      </c>
    </row>
    <row r="8646" spans="1:6" x14ac:dyDescent="0.25">
      <c r="A8646" s="4" t="str">
        <f>CONCATENATE("3071-0000-5561","")</f>
        <v>3071-0000-5561</v>
      </c>
      <c r="B8646" s="4" t="s">
        <v>7406</v>
      </c>
      <c r="C8646" s="5">
        <v>41489</v>
      </c>
      <c r="D8646" s="5">
        <v>41549</v>
      </c>
      <c r="E8646" s="4" t="s">
        <v>5185</v>
      </c>
      <c r="F8646" s="4" t="s">
        <v>5185</v>
      </c>
    </row>
    <row r="8647" spans="1:6" x14ac:dyDescent="0.25">
      <c r="A8647" s="4" t="str">
        <f>CONCATENATE("3071-0000-3897","")</f>
        <v>3071-0000-3897</v>
      </c>
      <c r="B8647" s="4" t="s">
        <v>4117</v>
      </c>
      <c r="C8647" s="5">
        <v>41489</v>
      </c>
      <c r="D8647" s="5">
        <v>41549</v>
      </c>
      <c r="E8647" s="4" t="s">
        <v>2944</v>
      </c>
      <c r="F8647" s="4" t="s">
        <v>3513</v>
      </c>
    </row>
    <row r="8648" spans="1:6" x14ac:dyDescent="0.25">
      <c r="A8648" s="4" t="str">
        <f>CONCATENATE("3071-0000-0423","")</f>
        <v>3071-0000-0423</v>
      </c>
      <c r="B8648" s="4" t="s">
        <v>644</v>
      </c>
      <c r="C8648" s="5">
        <v>41489</v>
      </c>
      <c r="D8648" s="5">
        <v>41549</v>
      </c>
      <c r="E8648" s="4" t="s">
        <v>7</v>
      </c>
      <c r="F8648" s="4" t="s">
        <v>7</v>
      </c>
    </row>
    <row r="8649" spans="1:6" x14ac:dyDescent="0.25">
      <c r="A8649" s="4" t="str">
        <f>CONCATENATE("3071-0000-7294","")</f>
        <v>3071-0000-7294</v>
      </c>
      <c r="B8649" s="4" t="s">
        <v>4836</v>
      </c>
      <c r="C8649" s="5">
        <v>41489</v>
      </c>
      <c r="D8649" s="5">
        <v>41549</v>
      </c>
      <c r="E8649" s="4" t="s">
        <v>1410</v>
      </c>
      <c r="F8649" s="4" t="s">
        <v>1410</v>
      </c>
    </row>
    <row r="8650" spans="1:6" x14ac:dyDescent="0.25">
      <c r="A8650" s="4" t="str">
        <f>CONCATENATE("3071-0000-2191","")</f>
        <v>3071-0000-2191</v>
      </c>
      <c r="B8650" s="4" t="s">
        <v>3679</v>
      </c>
      <c r="C8650" s="5">
        <v>41489</v>
      </c>
      <c r="D8650" s="5">
        <v>41549</v>
      </c>
      <c r="E8650" s="4" t="s">
        <v>2944</v>
      </c>
      <c r="F8650" s="4" t="s">
        <v>2945</v>
      </c>
    </row>
    <row r="8651" spans="1:6" x14ac:dyDescent="0.25">
      <c r="A8651" s="4" t="str">
        <f>CONCATENATE("3071-0000-2205","")</f>
        <v>3071-0000-2205</v>
      </c>
      <c r="B8651" s="4" t="s">
        <v>3658</v>
      </c>
      <c r="C8651" s="5">
        <v>41489</v>
      </c>
      <c r="D8651" s="5">
        <v>41549</v>
      </c>
      <c r="E8651" s="4" t="s">
        <v>2944</v>
      </c>
      <c r="F8651" s="4" t="s">
        <v>2945</v>
      </c>
    </row>
    <row r="8652" spans="1:6" x14ac:dyDescent="0.25">
      <c r="A8652" s="4" t="str">
        <f>CONCATENATE("3071-0000-2679","")</f>
        <v>3071-0000-2679</v>
      </c>
      <c r="B8652" s="4" t="s">
        <v>3417</v>
      </c>
      <c r="C8652" s="5">
        <v>41489</v>
      </c>
      <c r="D8652" s="5">
        <v>41549</v>
      </c>
      <c r="E8652" s="4" t="s">
        <v>1857</v>
      </c>
      <c r="F8652" s="4" t="s">
        <v>3306</v>
      </c>
    </row>
    <row r="8653" spans="1:6" x14ac:dyDescent="0.25">
      <c r="A8653" s="4" t="str">
        <f>CONCATENATE("3071-0000-3245","")</f>
        <v>3071-0000-3245</v>
      </c>
      <c r="B8653" s="4" t="s">
        <v>970</v>
      </c>
      <c r="C8653" s="5">
        <v>41489</v>
      </c>
      <c r="D8653" s="5">
        <v>41549</v>
      </c>
      <c r="E8653" s="4" t="s">
        <v>7</v>
      </c>
      <c r="F8653" s="4" t="s">
        <v>808</v>
      </c>
    </row>
    <row r="8654" spans="1:6" x14ac:dyDescent="0.25">
      <c r="A8654" s="4" t="str">
        <f>CONCATENATE("3071-0000-1072","")</f>
        <v>3071-0000-1072</v>
      </c>
      <c r="B8654" s="4" t="s">
        <v>1878</v>
      </c>
      <c r="C8654" s="5">
        <v>41489</v>
      </c>
      <c r="D8654" s="5">
        <v>41549</v>
      </c>
      <c r="E8654" s="4" t="s">
        <v>1857</v>
      </c>
      <c r="F8654" s="4" t="s">
        <v>1857</v>
      </c>
    </row>
    <row r="8655" spans="1:6" x14ac:dyDescent="0.25">
      <c r="A8655" s="4" t="str">
        <f>CONCATENATE("3071-0000-0702","")</f>
        <v>3071-0000-0702</v>
      </c>
      <c r="B8655" s="4" t="s">
        <v>57</v>
      </c>
      <c r="C8655" s="5">
        <v>41489</v>
      </c>
      <c r="D8655" s="5">
        <v>41549</v>
      </c>
      <c r="E8655" s="4" t="s">
        <v>7</v>
      </c>
      <c r="F8655" s="4" t="s">
        <v>7</v>
      </c>
    </row>
    <row r="8656" spans="1:6" x14ac:dyDescent="0.25">
      <c r="A8656" s="4" t="str">
        <f>CONCATENATE("3071-0000-3268","")</f>
        <v>3071-0000-3268</v>
      </c>
      <c r="B8656" s="4" t="s">
        <v>1403</v>
      </c>
      <c r="C8656" s="5">
        <v>41489</v>
      </c>
      <c r="D8656" s="5">
        <v>41549</v>
      </c>
      <c r="E8656" s="4" t="s">
        <v>7</v>
      </c>
      <c r="F8656" s="4" t="s">
        <v>982</v>
      </c>
    </row>
    <row r="8657" spans="1:6" x14ac:dyDescent="0.25">
      <c r="A8657" s="4" t="str">
        <f>CONCATENATE("3071-0000-2873","")</f>
        <v>3071-0000-2873</v>
      </c>
      <c r="B8657" s="4" t="s">
        <v>1395</v>
      </c>
      <c r="C8657" s="5">
        <v>41489</v>
      </c>
      <c r="D8657" s="5">
        <v>41549</v>
      </c>
      <c r="E8657" s="4" t="s">
        <v>7</v>
      </c>
      <c r="F8657" s="4" t="s">
        <v>808</v>
      </c>
    </row>
    <row r="8658" spans="1:6" x14ac:dyDescent="0.25">
      <c r="A8658" s="4" t="str">
        <f>CONCATENATE("3071-0000-5200","")</f>
        <v>3071-0000-5200</v>
      </c>
      <c r="B8658" s="4" t="s">
        <v>8733</v>
      </c>
      <c r="C8658" s="5">
        <v>41489</v>
      </c>
      <c r="D8658" s="5">
        <v>41549</v>
      </c>
      <c r="E8658" s="4" t="s">
        <v>1410</v>
      </c>
      <c r="F8658" s="4" t="s">
        <v>8696</v>
      </c>
    </row>
    <row r="8659" spans="1:6" x14ac:dyDescent="0.25">
      <c r="A8659" s="4" t="str">
        <f>CONCATENATE("3071-0000-5199","")</f>
        <v>3071-0000-5199</v>
      </c>
      <c r="B8659" s="4" t="s">
        <v>8734</v>
      </c>
      <c r="C8659" s="5">
        <v>41489</v>
      </c>
      <c r="D8659" s="5">
        <v>41549</v>
      </c>
      <c r="E8659" s="4" t="s">
        <v>1410</v>
      </c>
      <c r="F8659" s="4" t="s">
        <v>8696</v>
      </c>
    </row>
    <row r="8660" spans="1:6" x14ac:dyDescent="0.25">
      <c r="A8660" s="4" t="str">
        <f>CONCATENATE("3071-0000-7613","")</f>
        <v>3071-0000-7613</v>
      </c>
      <c r="B8660" s="4" t="s">
        <v>4866</v>
      </c>
      <c r="C8660" s="5">
        <v>41489</v>
      </c>
      <c r="D8660" s="5">
        <v>41549</v>
      </c>
      <c r="E8660" s="4" t="s">
        <v>1410</v>
      </c>
      <c r="F8660" s="4" t="s">
        <v>4655</v>
      </c>
    </row>
    <row r="8661" spans="1:6" x14ac:dyDescent="0.25">
      <c r="A8661" s="4" t="str">
        <f>CONCATENATE("3071-0000-5462","")</f>
        <v>3071-0000-5462</v>
      </c>
      <c r="B8661" s="4" t="s">
        <v>6670</v>
      </c>
      <c r="C8661" s="5">
        <v>41489</v>
      </c>
      <c r="D8661" s="5">
        <v>41549</v>
      </c>
      <c r="E8661" s="4" t="s">
        <v>5185</v>
      </c>
      <c r="F8661" s="4" t="s">
        <v>5185</v>
      </c>
    </row>
    <row r="8662" spans="1:6" x14ac:dyDescent="0.25">
      <c r="A8662" s="4" t="str">
        <f>CONCATENATE("3071-0000-4171","")</f>
        <v>3071-0000-4171</v>
      </c>
      <c r="B8662" s="4" t="s">
        <v>3967</v>
      </c>
      <c r="C8662" s="5">
        <v>41489</v>
      </c>
      <c r="D8662" s="5">
        <v>41549</v>
      </c>
      <c r="E8662" s="4" t="s">
        <v>7</v>
      </c>
      <c r="F8662" s="4" t="s">
        <v>1419</v>
      </c>
    </row>
    <row r="8663" spans="1:6" x14ac:dyDescent="0.25">
      <c r="A8663" s="4" t="str">
        <f>CONCATENATE("3071-0000-1516","")</f>
        <v>3071-0000-1516</v>
      </c>
      <c r="B8663" s="4" t="s">
        <v>2845</v>
      </c>
      <c r="C8663" s="5">
        <v>41489</v>
      </c>
      <c r="D8663" s="5">
        <v>41549</v>
      </c>
      <c r="E8663" s="4" t="s">
        <v>1381</v>
      </c>
      <c r="F8663" s="4" t="s">
        <v>2303</v>
      </c>
    </row>
    <row r="8664" spans="1:6" x14ac:dyDescent="0.25">
      <c r="A8664" s="4" t="str">
        <f>CONCATENATE("3071-0000-1832","")</f>
        <v>3071-0000-1832</v>
      </c>
      <c r="B8664" s="4" t="s">
        <v>2808</v>
      </c>
      <c r="C8664" s="5">
        <v>41489</v>
      </c>
      <c r="D8664" s="5">
        <v>41549</v>
      </c>
      <c r="E8664" s="4" t="s">
        <v>1381</v>
      </c>
      <c r="F8664" s="4" t="s">
        <v>2533</v>
      </c>
    </row>
    <row r="8665" spans="1:6" x14ac:dyDescent="0.25">
      <c r="A8665" s="4" t="str">
        <f>CONCATENATE("3071-0000-1720","")</f>
        <v>3071-0000-1720</v>
      </c>
      <c r="B8665" s="4" t="s">
        <v>2822</v>
      </c>
      <c r="C8665" s="5">
        <v>41489</v>
      </c>
      <c r="D8665" s="5">
        <v>41549</v>
      </c>
      <c r="E8665" s="4" t="s">
        <v>1381</v>
      </c>
      <c r="F8665" s="4" t="s">
        <v>2533</v>
      </c>
    </row>
    <row r="8666" spans="1:6" x14ac:dyDescent="0.25">
      <c r="A8666" s="4" t="str">
        <f>CONCATENATE("3071-0000-6299","")</f>
        <v>3071-0000-6299</v>
      </c>
      <c r="B8666" s="4" t="s">
        <v>7112</v>
      </c>
      <c r="C8666" s="5">
        <v>41489</v>
      </c>
      <c r="D8666" s="5">
        <v>41549</v>
      </c>
      <c r="E8666" s="4" t="s">
        <v>7069</v>
      </c>
      <c r="F8666" s="4" t="s">
        <v>7070</v>
      </c>
    </row>
    <row r="8667" spans="1:6" x14ac:dyDescent="0.25">
      <c r="A8667" s="4" t="str">
        <f>CONCATENATE("3071-0000-6276","")</f>
        <v>3071-0000-6276</v>
      </c>
      <c r="B8667" s="4" t="s">
        <v>7076</v>
      </c>
      <c r="C8667" s="5">
        <v>41489</v>
      </c>
      <c r="D8667" s="5">
        <v>41549</v>
      </c>
      <c r="E8667" s="4" t="s">
        <v>7069</v>
      </c>
      <c r="F8667" s="4" t="s">
        <v>7070</v>
      </c>
    </row>
    <row r="8668" spans="1:6" x14ac:dyDescent="0.25">
      <c r="A8668" s="4" t="str">
        <f>CONCATENATE("3071-0000-5026","")</f>
        <v>3071-0000-5026</v>
      </c>
      <c r="B8668" s="4" t="s">
        <v>9403</v>
      </c>
      <c r="C8668" s="5">
        <v>41489</v>
      </c>
      <c r="D8668" s="5">
        <v>41549</v>
      </c>
      <c r="E8668" s="4" t="s">
        <v>7069</v>
      </c>
      <c r="F8668" s="4" t="s">
        <v>9210</v>
      </c>
    </row>
    <row r="8669" spans="1:6" x14ac:dyDescent="0.25">
      <c r="A8669" s="4" t="str">
        <f>CONCATENATE("3071-0000-6300","")</f>
        <v>3071-0000-6300</v>
      </c>
      <c r="B8669" s="4" t="s">
        <v>7111</v>
      </c>
      <c r="C8669" s="5">
        <v>41489</v>
      </c>
      <c r="D8669" s="5">
        <v>41549</v>
      </c>
      <c r="E8669" s="4" t="s">
        <v>7069</v>
      </c>
      <c r="F8669" s="4" t="s">
        <v>7070</v>
      </c>
    </row>
    <row r="8670" spans="1:6" x14ac:dyDescent="0.25">
      <c r="A8670" s="4" t="str">
        <f>CONCATENATE("3071-0000-4030","")</f>
        <v>3071-0000-4030</v>
      </c>
      <c r="B8670" s="4" t="s">
        <v>4220</v>
      </c>
      <c r="C8670" s="5">
        <v>41489</v>
      </c>
      <c r="D8670" s="5">
        <v>41549</v>
      </c>
      <c r="E8670" s="4" t="s">
        <v>7</v>
      </c>
      <c r="F8670" s="4" t="s">
        <v>1419</v>
      </c>
    </row>
    <row r="8671" spans="1:6" x14ac:dyDescent="0.25">
      <c r="A8671" s="4" t="str">
        <f>CONCATENATE("3071-0000-4233","")</f>
        <v>3071-0000-4233</v>
      </c>
      <c r="B8671" s="4" t="s">
        <v>8713</v>
      </c>
      <c r="C8671" s="5">
        <v>41489</v>
      </c>
      <c r="D8671" s="5">
        <v>41549</v>
      </c>
      <c r="E8671" s="4" t="s">
        <v>1410</v>
      </c>
      <c r="F8671" s="4" t="s">
        <v>8696</v>
      </c>
    </row>
    <row r="8672" spans="1:6" x14ac:dyDescent="0.25">
      <c r="A8672" s="4" t="str">
        <f>CONCATENATE("3071-0000-1703","")</f>
        <v>3071-0000-1703</v>
      </c>
      <c r="B8672" s="4" t="s">
        <v>2791</v>
      </c>
      <c r="C8672" s="5">
        <v>41489</v>
      </c>
      <c r="D8672" s="5">
        <v>41549</v>
      </c>
      <c r="E8672" s="4" t="s">
        <v>1381</v>
      </c>
      <c r="F8672" s="4" t="s">
        <v>2533</v>
      </c>
    </row>
    <row r="8673" spans="1:6" x14ac:dyDescent="0.25">
      <c r="A8673" s="4" t="str">
        <f>CONCATENATE("3071-0000-3954","")</f>
        <v>3071-0000-3954</v>
      </c>
      <c r="B8673" s="4" t="s">
        <v>3948</v>
      </c>
      <c r="C8673" s="5">
        <v>41489</v>
      </c>
      <c r="D8673" s="5">
        <v>41549</v>
      </c>
      <c r="E8673" s="4" t="s">
        <v>2944</v>
      </c>
      <c r="F8673" s="4" t="s">
        <v>3513</v>
      </c>
    </row>
    <row r="8674" spans="1:6" x14ac:dyDescent="0.25">
      <c r="A8674" s="4" t="str">
        <f>CONCATENATE("3071-0000-8205","")</f>
        <v>3071-0000-8205</v>
      </c>
      <c r="B8674" s="4" t="s">
        <v>5489</v>
      </c>
      <c r="C8674" s="5">
        <v>41489</v>
      </c>
      <c r="D8674" s="5">
        <v>41549</v>
      </c>
      <c r="E8674" s="4" t="s">
        <v>5185</v>
      </c>
      <c r="F8674" s="4" t="s">
        <v>5185</v>
      </c>
    </row>
    <row r="8675" spans="1:6" x14ac:dyDescent="0.25">
      <c r="A8675" s="4" t="str">
        <f>CONCATENATE("3071-0000-1850","")</f>
        <v>3071-0000-1850</v>
      </c>
      <c r="B8675" s="4" t="s">
        <v>2756</v>
      </c>
      <c r="C8675" s="5">
        <v>41489</v>
      </c>
      <c r="D8675" s="5">
        <v>41549</v>
      </c>
      <c r="E8675" s="4" t="s">
        <v>1381</v>
      </c>
      <c r="F8675" s="4" t="s">
        <v>1382</v>
      </c>
    </row>
    <row r="8676" spans="1:6" x14ac:dyDescent="0.25">
      <c r="A8676" s="4" t="str">
        <f>CONCATENATE("3071-0000-1762","")</f>
        <v>3071-0000-1762</v>
      </c>
      <c r="B8676" s="4" t="s">
        <v>2861</v>
      </c>
      <c r="C8676" s="5">
        <v>41489</v>
      </c>
      <c r="D8676" s="5">
        <v>41549</v>
      </c>
      <c r="E8676" s="4" t="s">
        <v>1381</v>
      </c>
      <c r="F8676" s="4" t="s">
        <v>2840</v>
      </c>
    </row>
    <row r="8677" spans="1:6" x14ac:dyDescent="0.25">
      <c r="A8677" s="4" t="str">
        <f>CONCATENATE("3071-0000-7850","")</f>
        <v>3071-0000-7850</v>
      </c>
      <c r="B8677" s="4" t="s">
        <v>6202</v>
      </c>
      <c r="C8677" s="5">
        <v>41489</v>
      </c>
      <c r="D8677" s="5">
        <v>41549</v>
      </c>
      <c r="E8677" s="4" t="s">
        <v>5185</v>
      </c>
      <c r="F8677" s="4" t="s">
        <v>5185</v>
      </c>
    </row>
    <row r="8678" spans="1:6" x14ac:dyDescent="0.25">
      <c r="A8678" s="4" t="str">
        <f>CONCATENATE("3071-0000-9012","")</f>
        <v>3071-0000-9012</v>
      </c>
      <c r="B8678" s="4" t="s">
        <v>6563</v>
      </c>
      <c r="C8678" s="5">
        <v>41489</v>
      </c>
      <c r="D8678" s="5">
        <v>41549</v>
      </c>
      <c r="E8678" s="4" t="s">
        <v>5185</v>
      </c>
      <c r="F8678" s="4" t="s">
        <v>5292</v>
      </c>
    </row>
    <row r="8679" spans="1:6" x14ac:dyDescent="0.25">
      <c r="A8679" s="4" t="str">
        <f>CONCATENATE("3071-0000-7179","")</f>
        <v>3071-0000-7179</v>
      </c>
      <c r="B8679" s="4" t="s">
        <v>5015</v>
      </c>
      <c r="C8679" s="5">
        <v>41489</v>
      </c>
      <c r="D8679" s="5">
        <v>41549</v>
      </c>
      <c r="E8679" s="4" t="s">
        <v>1410</v>
      </c>
      <c r="F8679" s="4" t="s">
        <v>1410</v>
      </c>
    </row>
    <row r="8680" spans="1:6" x14ac:dyDescent="0.25">
      <c r="A8680" s="4" t="str">
        <f>CONCATENATE("3071-0000-7845","")</f>
        <v>3071-0000-7845</v>
      </c>
      <c r="B8680" s="4" t="s">
        <v>6192</v>
      </c>
      <c r="C8680" s="5">
        <v>41489</v>
      </c>
      <c r="D8680" s="5">
        <v>41549</v>
      </c>
      <c r="E8680" s="4" t="s">
        <v>5185</v>
      </c>
      <c r="F8680" s="4" t="s">
        <v>5185</v>
      </c>
    </row>
    <row r="8681" spans="1:6" x14ac:dyDescent="0.25">
      <c r="A8681" s="4" t="str">
        <f>CONCATENATE("3071-0000-9068","")</f>
        <v>3071-0000-9068</v>
      </c>
      <c r="B8681" s="4" t="s">
        <v>5937</v>
      </c>
      <c r="C8681" s="5">
        <v>41489</v>
      </c>
      <c r="D8681" s="5">
        <v>41549</v>
      </c>
      <c r="E8681" s="4" t="s">
        <v>5185</v>
      </c>
      <c r="F8681" s="4" t="s">
        <v>4188</v>
      </c>
    </row>
    <row r="8682" spans="1:6" x14ac:dyDescent="0.25">
      <c r="A8682" s="4" t="str">
        <f>CONCATENATE("3071-0000-7138","")</f>
        <v>3071-0000-7138</v>
      </c>
      <c r="B8682" s="4" t="s">
        <v>4959</v>
      </c>
      <c r="C8682" s="5">
        <v>41489</v>
      </c>
      <c r="D8682" s="5">
        <v>41549</v>
      </c>
      <c r="E8682" s="4" t="s">
        <v>1410</v>
      </c>
      <c r="F8682" s="4" t="s">
        <v>1410</v>
      </c>
    </row>
    <row r="8683" spans="1:6" x14ac:dyDescent="0.25">
      <c r="A8683" s="4" t="str">
        <f>CONCATENATE("3071-0000-1588","")</f>
        <v>3071-0000-1588</v>
      </c>
      <c r="B8683" s="4" t="s">
        <v>2882</v>
      </c>
      <c r="C8683" s="5">
        <v>41489</v>
      </c>
      <c r="D8683" s="5">
        <v>41549</v>
      </c>
      <c r="E8683" s="4" t="s">
        <v>1381</v>
      </c>
      <c r="F8683" s="4" t="s">
        <v>2303</v>
      </c>
    </row>
    <row r="8684" spans="1:6" x14ac:dyDescent="0.25">
      <c r="A8684" s="4" t="str">
        <f>CONCATENATE("3071-0000-7387","")</f>
        <v>3071-0000-7387</v>
      </c>
      <c r="B8684" s="4" t="s">
        <v>4400</v>
      </c>
      <c r="C8684" s="5">
        <v>41489</v>
      </c>
      <c r="D8684" s="5">
        <v>41549</v>
      </c>
      <c r="E8684" s="4" t="s">
        <v>1410</v>
      </c>
      <c r="F8684" s="4" t="s">
        <v>1410</v>
      </c>
    </row>
    <row r="8685" spans="1:6" x14ac:dyDescent="0.25">
      <c r="A8685" s="4" t="str">
        <f>CONCATENATE("3071-0000-0682","")</f>
        <v>3071-0000-0682</v>
      </c>
      <c r="B8685" s="4" t="s">
        <v>419</v>
      </c>
      <c r="C8685" s="5">
        <v>41489</v>
      </c>
      <c r="D8685" s="5">
        <v>41549</v>
      </c>
      <c r="E8685" s="4" t="s">
        <v>7</v>
      </c>
      <c r="F8685" s="4" t="s">
        <v>7</v>
      </c>
    </row>
    <row r="8686" spans="1:6" x14ac:dyDescent="0.25">
      <c r="A8686" s="4" t="str">
        <f>CONCATENATE("3071-0000-8006","")</f>
        <v>3071-0000-8006</v>
      </c>
      <c r="B8686" s="4" t="s">
        <v>5946</v>
      </c>
      <c r="C8686" s="5">
        <v>41489</v>
      </c>
      <c r="D8686" s="5">
        <v>41549</v>
      </c>
      <c r="E8686" s="4" t="s">
        <v>5185</v>
      </c>
      <c r="F8686" s="4" t="s">
        <v>5185</v>
      </c>
    </row>
    <row r="8687" spans="1:6" x14ac:dyDescent="0.25">
      <c r="A8687" s="4" t="str">
        <f>CONCATENATE("3071-0000-8671","")</f>
        <v>3071-0000-8671</v>
      </c>
      <c r="B8687" s="4" t="s">
        <v>6376</v>
      </c>
      <c r="C8687" s="5">
        <v>41489</v>
      </c>
      <c r="D8687" s="5">
        <v>41549</v>
      </c>
      <c r="E8687" s="4" t="s">
        <v>5185</v>
      </c>
      <c r="F8687" s="4" t="s">
        <v>5292</v>
      </c>
    </row>
    <row r="8688" spans="1:6" x14ac:dyDescent="0.25">
      <c r="A8688" s="4" t="str">
        <f>CONCATENATE("3071-0000-8143","")</f>
        <v>3071-0000-8143</v>
      </c>
      <c r="B8688" s="4" t="s">
        <v>6325</v>
      </c>
      <c r="C8688" s="5">
        <v>41489</v>
      </c>
      <c r="D8688" s="5">
        <v>41549</v>
      </c>
      <c r="E8688" s="4" t="s">
        <v>5185</v>
      </c>
      <c r="F8688" s="4" t="s">
        <v>5292</v>
      </c>
    </row>
    <row r="8689" spans="1:6" x14ac:dyDescent="0.25">
      <c r="A8689" s="4" t="str">
        <f>CONCATENATE("3071-0000-7001","")</f>
        <v>3071-0000-7001</v>
      </c>
      <c r="B8689" s="4" t="s">
        <v>4399</v>
      </c>
      <c r="C8689" s="5">
        <v>41489</v>
      </c>
      <c r="D8689" s="5">
        <v>41549</v>
      </c>
      <c r="E8689" s="4" t="s">
        <v>1410</v>
      </c>
      <c r="F8689" s="4" t="s">
        <v>1410</v>
      </c>
    </row>
    <row r="8690" spans="1:6" x14ac:dyDescent="0.25">
      <c r="A8690" s="4" t="str">
        <f>CONCATENATE("3071-0000-7876","")</f>
        <v>3071-0000-7876</v>
      </c>
      <c r="B8690" s="4" t="s">
        <v>5477</v>
      </c>
      <c r="C8690" s="5">
        <v>41489</v>
      </c>
      <c r="D8690" s="5">
        <v>41549</v>
      </c>
      <c r="E8690" s="4" t="s">
        <v>5185</v>
      </c>
      <c r="F8690" s="4" t="s">
        <v>5185</v>
      </c>
    </row>
    <row r="8691" spans="1:6" x14ac:dyDescent="0.25">
      <c r="A8691" s="4" t="str">
        <f>CONCATENATE("3071-0000-3813","")</f>
        <v>3071-0000-3813</v>
      </c>
      <c r="B8691" s="4" t="s">
        <v>3850</v>
      </c>
      <c r="C8691" s="5">
        <v>41489</v>
      </c>
      <c r="D8691" s="5">
        <v>41549</v>
      </c>
      <c r="E8691" s="4" t="s">
        <v>7</v>
      </c>
      <c r="F8691" s="4" t="s">
        <v>3818</v>
      </c>
    </row>
    <row r="8692" spans="1:6" x14ac:dyDescent="0.25">
      <c r="A8692" s="4" t="str">
        <f>CONCATENATE("3071-0000-1788","")</f>
        <v>3071-0000-1788</v>
      </c>
      <c r="B8692" s="4" t="s">
        <v>2837</v>
      </c>
      <c r="C8692" s="5">
        <v>41489</v>
      </c>
      <c r="D8692" s="5">
        <v>41549</v>
      </c>
      <c r="E8692" s="4" t="s">
        <v>1381</v>
      </c>
      <c r="F8692" s="4" t="s">
        <v>2826</v>
      </c>
    </row>
    <row r="8693" spans="1:6" x14ac:dyDescent="0.25">
      <c r="A8693" s="4" t="str">
        <f>CONCATENATE("3071-0000-0472","")</f>
        <v>3071-0000-0472</v>
      </c>
      <c r="B8693" s="4" t="s">
        <v>56</v>
      </c>
      <c r="C8693" s="5">
        <v>41489</v>
      </c>
      <c r="D8693" s="5">
        <v>41549</v>
      </c>
      <c r="E8693" s="4" t="s">
        <v>7</v>
      </c>
      <c r="F8693" s="4" t="s">
        <v>7</v>
      </c>
    </row>
    <row r="8694" spans="1:6" x14ac:dyDescent="0.25">
      <c r="A8694" s="4" t="str">
        <f>CONCATENATE("3071-0000-2233","")</f>
        <v>3071-0000-2233</v>
      </c>
      <c r="B8694" s="4" t="s">
        <v>3757</v>
      </c>
      <c r="C8694" s="5">
        <v>41489</v>
      </c>
      <c r="D8694" s="5">
        <v>41549</v>
      </c>
      <c r="E8694" s="4" t="s">
        <v>2944</v>
      </c>
      <c r="F8694" s="4" t="s">
        <v>2945</v>
      </c>
    </row>
    <row r="8695" spans="1:6" x14ac:dyDescent="0.25">
      <c r="A8695" s="4" t="str">
        <f>CONCATENATE("3071-0000-0108","")</f>
        <v>3071-0000-0108</v>
      </c>
      <c r="B8695" s="4" t="s">
        <v>223</v>
      </c>
      <c r="C8695" s="5">
        <v>41489</v>
      </c>
      <c r="D8695" s="5">
        <v>41549</v>
      </c>
      <c r="E8695" s="4" t="s">
        <v>7</v>
      </c>
      <c r="F8695" s="4" t="s">
        <v>7</v>
      </c>
    </row>
    <row r="8696" spans="1:6" x14ac:dyDescent="0.25">
      <c r="A8696" s="4" t="str">
        <f>CONCATENATE("3071-0000-2259","")</f>
        <v>3071-0000-2259</v>
      </c>
      <c r="B8696" s="4" t="s">
        <v>3761</v>
      </c>
      <c r="C8696" s="5">
        <v>41489</v>
      </c>
      <c r="D8696" s="5">
        <v>41549</v>
      </c>
      <c r="E8696" s="4" t="s">
        <v>2944</v>
      </c>
      <c r="F8696" s="4" t="s">
        <v>2945</v>
      </c>
    </row>
    <row r="8697" spans="1:6" x14ac:dyDescent="0.25">
      <c r="A8697" s="4" t="str">
        <f>CONCATENATE("3071-0000-2601","")</f>
        <v>3071-0000-2601</v>
      </c>
      <c r="B8697" s="4" t="s">
        <v>3245</v>
      </c>
      <c r="C8697" s="5">
        <v>41489</v>
      </c>
      <c r="D8697" s="5">
        <v>41549</v>
      </c>
      <c r="E8697" s="4" t="s">
        <v>2944</v>
      </c>
      <c r="F8697" s="4" t="s">
        <v>3164</v>
      </c>
    </row>
    <row r="8698" spans="1:6" x14ac:dyDescent="0.25">
      <c r="A8698" s="4" t="str">
        <f>CONCATENATE("3071-0000-1253","")</f>
        <v>3071-0000-1253</v>
      </c>
      <c r="B8698" s="4" t="s">
        <v>2341</v>
      </c>
      <c r="C8698" s="5">
        <v>41489</v>
      </c>
      <c r="D8698" s="5">
        <v>41549</v>
      </c>
      <c r="E8698" s="4" t="s">
        <v>1381</v>
      </c>
      <c r="F8698" s="4" t="s">
        <v>2303</v>
      </c>
    </row>
    <row r="8699" spans="1:6" x14ac:dyDescent="0.25">
      <c r="A8699" s="4" t="str">
        <f>CONCATENATE("3071-0000-3697","")</f>
        <v>3071-0000-3697</v>
      </c>
      <c r="B8699" s="4" t="s">
        <v>1812</v>
      </c>
      <c r="C8699" s="5">
        <v>41489</v>
      </c>
      <c r="D8699" s="5">
        <v>41549</v>
      </c>
      <c r="E8699" s="4" t="s">
        <v>1410</v>
      </c>
      <c r="F8699" s="4" t="s">
        <v>1411</v>
      </c>
    </row>
    <row r="8700" spans="1:6" x14ac:dyDescent="0.25">
      <c r="A8700" s="4" t="str">
        <f>CONCATENATE("3071-0000-5442","")</f>
        <v>3071-0000-5442</v>
      </c>
      <c r="B8700" s="4" t="s">
        <v>6902</v>
      </c>
      <c r="C8700" s="5">
        <v>41489</v>
      </c>
      <c r="D8700" s="5">
        <v>41549</v>
      </c>
      <c r="E8700" s="4" t="s">
        <v>5185</v>
      </c>
      <c r="F8700" s="4" t="s">
        <v>5185</v>
      </c>
    </row>
    <row r="8701" spans="1:6" x14ac:dyDescent="0.25">
      <c r="A8701" s="4" t="str">
        <f>CONCATENATE("3071-0000-2915","")</f>
        <v>3071-0000-2915</v>
      </c>
      <c r="B8701" s="4" t="s">
        <v>1325</v>
      </c>
      <c r="C8701" s="5">
        <v>41489</v>
      </c>
      <c r="D8701" s="5">
        <v>41549</v>
      </c>
      <c r="E8701" s="4" t="s">
        <v>7</v>
      </c>
      <c r="F8701" s="4" t="s">
        <v>808</v>
      </c>
    </row>
    <row r="8702" spans="1:6" x14ac:dyDescent="0.25">
      <c r="A8702" s="4" t="str">
        <f>CONCATENATE("3071-0000-0243","")</f>
        <v>3071-0000-0243</v>
      </c>
      <c r="B8702" s="4" t="s">
        <v>535</v>
      </c>
      <c r="C8702" s="5">
        <v>41489</v>
      </c>
      <c r="D8702" s="5">
        <v>41549</v>
      </c>
      <c r="E8702" s="4" t="s">
        <v>7</v>
      </c>
      <c r="F8702" s="4" t="s">
        <v>7</v>
      </c>
    </row>
    <row r="8703" spans="1:6" x14ac:dyDescent="0.25">
      <c r="A8703" s="4" t="str">
        <f>CONCATENATE("3071-0000-0309","")</f>
        <v>3071-0000-0309</v>
      </c>
      <c r="B8703" s="4" t="s">
        <v>737</v>
      </c>
      <c r="C8703" s="5">
        <v>41489</v>
      </c>
      <c r="D8703" s="5">
        <v>41549</v>
      </c>
      <c r="E8703" s="4" t="s">
        <v>7</v>
      </c>
      <c r="F8703" s="4" t="s">
        <v>7</v>
      </c>
    </row>
    <row r="8704" spans="1:6" x14ac:dyDescent="0.25">
      <c r="A8704" s="4" t="str">
        <f>CONCATENATE("3071-0000-4833","")</f>
        <v>3071-0000-4833</v>
      </c>
      <c r="B8704" s="4" t="s">
        <v>9439</v>
      </c>
      <c r="C8704" s="5">
        <v>41489</v>
      </c>
      <c r="D8704" s="5">
        <v>41549</v>
      </c>
      <c r="E8704" s="4" t="s">
        <v>1410</v>
      </c>
      <c r="F8704" s="4" t="s">
        <v>8696</v>
      </c>
    </row>
    <row r="8705" spans="1:6" x14ac:dyDescent="0.25">
      <c r="A8705" s="4" t="str">
        <f>CONCATENATE("3071-0000-7633","")</f>
        <v>3071-0000-7633</v>
      </c>
      <c r="B8705" s="4" t="s">
        <v>5175</v>
      </c>
      <c r="C8705" s="5">
        <v>41489</v>
      </c>
      <c r="D8705" s="5">
        <v>41549</v>
      </c>
      <c r="E8705" s="4" t="s">
        <v>1410</v>
      </c>
      <c r="F8705" s="4" t="s">
        <v>4616</v>
      </c>
    </row>
    <row r="8706" spans="1:6" x14ac:dyDescent="0.25">
      <c r="A8706" s="4" t="str">
        <f>CONCATENATE("3071-0000-5575","")</f>
        <v>3071-0000-5575</v>
      </c>
      <c r="B8706" s="4" t="s">
        <v>6940</v>
      </c>
      <c r="C8706" s="5">
        <v>41489</v>
      </c>
      <c r="D8706" s="5">
        <v>41549</v>
      </c>
      <c r="E8706" s="4" t="s">
        <v>5185</v>
      </c>
      <c r="F8706" s="4" t="s">
        <v>5185</v>
      </c>
    </row>
    <row r="8707" spans="1:6" x14ac:dyDescent="0.25">
      <c r="A8707" s="4" t="str">
        <f>CONCATENATE("3071-0000-6058","")</f>
        <v>3071-0000-6058</v>
      </c>
      <c r="B8707" s="4" t="s">
        <v>6948</v>
      </c>
      <c r="C8707" s="5">
        <v>41489</v>
      </c>
      <c r="D8707" s="5">
        <v>41549</v>
      </c>
      <c r="E8707" s="4" t="s">
        <v>1410</v>
      </c>
      <c r="F8707" s="4" t="s">
        <v>4616</v>
      </c>
    </row>
    <row r="8708" spans="1:6" x14ac:dyDescent="0.25">
      <c r="A8708" s="4" t="str">
        <f>CONCATENATE("3071-0000-1288","")</f>
        <v>3071-0000-1288</v>
      </c>
      <c r="B8708" s="4" t="s">
        <v>2398</v>
      </c>
      <c r="C8708" s="5">
        <v>41489</v>
      </c>
      <c r="D8708" s="5">
        <v>41549</v>
      </c>
      <c r="E8708" s="4" t="s">
        <v>1381</v>
      </c>
      <c r="F8708" s="4" t="s">
        <v>2303</v>
      </c>
    </row>
    <row r="8709" spans="1:6" x14ac:dyDescent="0.25">
      <c r="A8709" s="4" t="str">
        <f>CONCATENATE("3071-0000-1025","")</f>
        <v>3071-0000-1025</v>
      </c>
      <c r="B8709" s="4" t="s">
        <v>2250</v>
      </c>
      <c r="C8709" s="5">
        <v>41489</v>
      </c>
      <c r="D8709" s="5">
        <v>41549</v>
      </c>
      <c r="E8709" s="4" t="s">
        <v>1857</v>
      </c>
      <c r="F8709" s="4" t="s">
        <v>1857</v>
      </c>
    </row>
    <row r="8710" spans="1:6" x14ac:dyDescent="0.25">
      <c r="A8710" s="4" t="str">
        <f>CONCATENATE("3071-0000-7791","")</f>
        <v>3071-0000-7791</v>
      </c>
      <c r="B8710" s="4" t="s">
        <v>5194</v>
      </c>
      <c r="C8710" s="5">
        <v>41489</v>
      </c>
      <c r="D8710" s="5">
        <v>41549</v>
      </c>
      <c r="E8710" s="4" t="s">
        <v>5185</v>
      </c>
      <c r="F8710" s="4" t="s">
        <v>5185</v>
      </c>
    </row>
    <row r="8711" spans="1:6" x14ac:dyDescent="0.25">
      <c r="A8711" s="4" t="str">
        <f>CONCATENATE("3071-0000-5937","")</f>
        <v>3071-0000-5937</v>
      </c>
      <c r="B8711" s="4" t="s">
        <v>6982</v>
      </c>
      <c r="C8711" s="5">
        <v>41489</v>
      </c>
      <c r="D8711" s="5">
        <v>41549</v>
      </c>
      <c r="E8711" s="4" t="s">
        <v>5185</v>
      </c>
      <c r="F8711" s="4" t="s">
        <v>5185</v>
      </c>
    </row>
    <row r="8712" spans="1:6" x14ac:dyDescent="0.25">
      <c r="A8712" s="4" t="str">
        <f>CONCATENATE("3071-0000-3504","")</f>
        <v>3071-0000-3504</v>
      </c>
      <c r="B8712" s="4" t="s">
        <v>1824</v>
      </c>
      <c r="C8712" s="5">
        <v>41489</v>
      </c>
      <c r="D8712" s="5">
        <v>41549</v>
      </c>
      <c r="E8712" s="4" t="s">
        <v>1410</v>
      </c>
      <c r="F8712" s="4" t="s">
        <v>1411</v>
      </c>
    </row>
    <row r="8713" spans="1:6" x14ac:dyDescent="0.25">
      <c r="A8713" s="4" t="str">
        <f>CONCATENATE("3071-0000-8454","")</f>
        <v>3071-0000-8454</v>
      </c>
      <c r="B8713" s="4" t="s">
        <v>6075</v>
      </c>
      <c r="C8713" s="5">
        <v>41489</v>
      </c>
      <c r="D8713" s="5">
        <v>41549</v>
      </c>
      <c r="E8713" s="4" t="s">
        <v>5185</v>
      </c>
      <c r="F8713" s="4" t="s">
        <v>5945</v>
      </c>
    </row>
    <row r="8714" spans="1:6" x14ac:dyDescent="0.25">
      <c r="A8714" s="4" t="str">
        <f>CONCATENATE("3071-0000-7731","")</f>
        <v>3071-0000-7731</v>
      </c>
      <c r="B8714" s="4" t="s">
        <v>4371</v>
      </c>
      <c r="C8714" s="5">
        <v>41489</v>
      </c>
      <c r="D8714" s="5">
        <v>41549</v>
      </c>
      <c r="E8714" s="4" t="s">
        <v>1410</v>
      </c>
      <c r="F8714" s="4" t="s">
        <v>1410</v>
      </c>
    </row>
    <row r="8715" spans="1:6" x14ac:dyDescent="0.25">
      <c r="A8715" s="4" t="str">
        <f>CONCATENATE("3071-0000-6638","")</f>
        <v>3071-0000-6638</v>
      </c>
      <c r="B8715" s="4" t="s">
        <v>8235</v>
      </c>
      <c r="C8715" s="5">
        <v>41489</v>
      </c>
      <c r="D8715" s="5">
        <v>41549</v>
      </c>
      <c r="E8715" s="4" t="s">
        <v>5185</v>
      </c>
      <c r="F8715" s="4" t="s">
        <v>5185</v>
      </c>
    </row>
    <row r="8716" spans="1:6" x14ac:dyDescent="0.25">
      <c r="A8716" s="4" t="str">
        <f>CONCATENATE("3071-0000-4715","")</f>
        <v>3071-0000-4715</v>
      </c>
      <c r="B8716" s="4" t="s">
        <v>9667</v>
      </c>
      <c r="C8716" s="5">
        <v>41489</v>
      </c>
      <c r="D8716" s="5">
        <v>41549</v>
      </c>
      <c r="E8716" s="4" t="s">
        <v>1410</v>
      </c>
      <c r="F8716" s="4" t="s">
        <v>8696</v>
      </c>
    </row>
    <row r="8717" spans="1:6" x14ac:dyDescent="0.25">
      <c r="A8717" s="4" t="str">
        <f>CONCATENATE("3071-0000-9086","")</f>
        <v>3071-0000-9086</v>
      </c>
      <c r="B8717" s="4" t="s">
        <v>6599</v>
      </c>
      <c r="C8717" s="5">
        <v>41489</v>
      </c>
      <c r="D8717" s="5">
        <v>41549</v>
      </c>
      <c r="E8717" s="4" t="s">
        <v>5185</v>
      </c>
      <c r="F8717" s="4" t="s">
        <v>5292</v>
      </c>
    </row>
    <row r="8718" spans="1:6" x14ac:dyDescent="0.25">
      <c r="A8718" s="4" t="str">
        <f>CONCATENATE("3071-0000-9270","")</f>
        <v>3071-0000-9270</v>
      </c>
      <c r="B8718" s="4" t="s">
        <v>8548</v>
      </c>
      <c r="C8718" s="5">
        <v>41489</v>
      </c>
      <c r="D8718" s="5">
        <v>41549</v>
      </c>
      <c r="E8718" s="4" t="s">
        <v>5185</v>
      </c>
      <c r="F8718" s="4" t="s">
        <v>5185</v>
      </c>
    </row>
    <row r="8719" spans="1:6" x14ac:dyDescent="0.25">
      <c r="A8719" s="4" t="str">
        <f>CONCATENATE("3071-0000-6710","")</f>
        <v>3071-0000-6710</v>
      </c>
      <c r="B8719" s="4" t="s">
        <v>8164</v>
      </c>
      <c r="C8719" s="5">
        <v>41489</v>
      </c>
      <c r="D8719" s="5">
        <v>41549</v>
      </c>
      <c r="E8719" s="4" t="s">
        <v>5185</v>
      </c>
      <c r="F8719" s="4" t="s">
        <v>5185</v>
      </c>
    </row>
    <row r="8720" spans="1:6" x14ac:dyDescent="0.25">
      <c r="A8720" s="4" t="str">
        <f>CONCATENATE("3071-0000-6577","")</f>
        <v>3071-0000-6577</v>
      </c>
      <c r="B8720" s="4" t="s">
        <v>8194</v>
      </c>
      <c r="C8720" s="5">
        <v>41489</v>
      </c>
      <c r="D8720" s="5">
        <v>41549</v>
      </c>
      <c r="E8720" s="4" t="s">
        <v>5185</v>
      </c>
      <c r="F8720" s="4" t="s">
        <v>5185</v>
      </c>
    </row>
    <row r="8721" spans="1:6" x14ac:dyDescent="0.25">
      <c r="A8721" s="4" t="str">
        <f>CONCATENATE("3071-0000-9275","")</f>
        <v>3071-0000-9275</v>
      </c>
      <c r="B8721" s="4" t="s">
        <v>8286</v>
      </c>
      <c r="C8721" s="5">
        <v>41489</v>
      </c>
      <c r="D8721" s="5">
        <v>41549</v>
      </c>
      <c r="E8721" s="4" t="s">
        <v>5185</v>
      </c>
      <c r="F8721" s="4" t="s">
        <v>5185</v>
      </c>
    </row>
    <row r="8722" spans="1:6" x14ac:dyDescent="0.25">
      <c r="A8722" s="4" t="str">
        <f>CONCATENATE("3071-0000-9299","")</f>
        <v>3071-0000-9299</v>
      </c>
      <c r="B8722" s="4" t="s">
        <v>8360</v>
      </c>
      <c r="C8722" s="5">
        <v>41489</v>
      </c>
      <c r="D8722" s="5">
        <v>41549</v>
      </c>
      <c r="E8722" s="4" t="s">
        <v>5185</v>
      </c>
      <c r="F8722" s="4" t="s">
        <v>5185</v>
      </c>
    </row>
    <row r="8723" spans="1:6" x14ac:dyDescent="0.25">
      <c r="A8723" s="4" t="str">
        <f>CONCATENATE("3071-0000-9306","")</f>
        <v>3071-0000-9306</v>
      </c>
      <c r="B8723" s="4" t="s">
        <v>8340</v>
      </c>
      <c r="C8723" s="5">
        <v>41489</v>
      </c>
      <c r="D8723" s="5">
        <v>41549</v>
      </c>
      <c r="E8723" s="4" t="s">
        <v>5185</v>
      </c>
      <c r="F8723" s="4" t="s">
        <v>5185</v>
      </c>
    </row>
    <row r="8724" spans="1:6" x14ac:dyDescent="0.25">
      <c r="A8724" s="4" t="str">
        <f>CONCATENATE("3071-0000-7687","")</f>
        <v>3071-0000-7687</v>
      </c>
      <c r="B8724" s="4" t="s">
        <v>4703</v>
      </c>
      <c r="C8724" s="5">
        <v>41489</v>
      </c>
      <c r="D8724" s="5">
        <v>41549</v>
      </c>
      <c r="E8724" s="4" t="s">
        <v>1410</v>
      </c>
      <c r="F8724" s="4" t="s">
        <v>4655</v>
      </c>
    </row>
    <row r="8725" spans="1:6" x14ac:dyDescent="0.25">
      <c r="A8725" s="4" t="str">
        <f>CONCATENATE("3071-0000-8785","")</f>
        <v>3071-0000-8785</v>
      </c>
      <c r="B8725" s="4" t="s">
        <v>6593</v>
      </c>
      <c r="C8725" s="5">
        <v>41489</v>
      </c>
      <c r="D8725" s="5">
        <v>41549</v>
      </c>
      <c r="E8725" s="4" t="s">
        <v>5185</v>
      </c>
      <c r="F8725" s="4" t="s">
        <v>5292</v>
      </c>
    </row>
    <row r="8726" spans="1:6" x14ac:dyDescent="0.25">
      <c r="A8726" s="4" t="str">
        <f>CONCATENATE("3071-0000-0808","")</f>
        <v>3071-0000-0808</v>
      </c>
      <c r="B8726" s="4" t="s">
        <v>1864</v>
      </c>
      <c r="C8726" s="5">
        <v>41489</v>
      </c>
      <c r="D8726" s="5">
        <v>41549</v>
      </c>
      <c r="E8726" s="4" t="s">
        <v>1857</v>
      </c>
      <c r="F8726" s="4" t="s">
        <v>1857</v>
      </c>
    </row>
    <row r="8727" spans="1:6" x14ac:dyDescent="0.25">
      <c r="A8727" s="4" t="str">
        <f>CONCATENATE("3071-0000-7089","")</f>
        <v>3071-0000-7089</v>
      </c>
      <c r="B8727" s="4" t="s">
        <v>4831</v>
      </c>
      <c r="C8727" s="5">
        <v>41489</v>
      </c>
      <c r="D8727" s="5">
        <v>41549</v>
      </c>
      <c r="E8727" s="4" t="s">
        <v>1410</v>
      </c>
      <c r="F8727" s="4" t="s">
        <v>1410</v>
      </c>
    </row>
    <row r="8728" spans="1:6" x14ac:dyDescent="0.25">
      <c r="A8728" s="4" t="str">
        <f>CONCATENATE("3071-0000-4127","")</f>
        <v>3071-0000-4127</v>
      </c>
      <c r="B8728" s="4" t="s">
        <v>4254</v>
      </c>
      <c r="C8728" s="5">
        <v>41489</v>
      </c>
      <c r="D8728" s="5">
        <v>41549</v>
      </c>
      <c r="E8728" s="4" t="s">
        <v>7</v>
      </c>
      <c r="F8728" s="4" t="s">
        <v>1419</v>
      </c>
    </row>
    <row r="8729" spans="1:6" x14ac:dyDescent="0.25">
      <c r="A8729" s="4" t="str">
        <f>CONCATENATE("3071-0000-8455","")</f>
        <v>3071-0000-8455</v>
      </c>
      <c r="B8729" s="4" t="s">
        <v>6073</v>
      </c>
      <c r="C8729" s="5">
        <v>41489</v>
      </c>
      <c r="D8729" s="5">
        <v>41549</v>
      </c>
      <c r="E8729" s="4" t="s">
        <v>5185</v>
      </c>
      <c r="F8729" s="4" t="s">
        <v>5945</v>
      </c>
    </row>
    <row r="8730" spans="1:6" x14ac:dyDescent="0.25">
      <c r="A8730" s="4" t="str">
        <f>CONCATENATE("3071-0000-8615","")</f>
        <v>3071-0000-8615</v>
      </c>
      <c r="B8730" s="4" t="s">
        <v>6092</v>
      </c>
      <c r="C8730" s="5">
        <v>41489</v>
      </c>
      <c r="D8730" s="5">
        <v>41549</v>
      </c>
      <c r="E8730" s="4" t="s">
        <v>5185</v>
      </c>
      <c r="F8730" s="4" t="s">
        <v>5945</v>
      </c>
    </row>
    <row r="8731" spans="1:6" x14ac:dyDescent="0.25">
      <c r="A8731" s="4" t="str">
        <f>CONCATENATE("3071-0000-9339","")</f>
        <v>3071-0000-9339</v>
      </c>
      <c r="B8731" s="4" t="s">
        <v>8390</v>
      </c>
      <c r="C8731" s="5">
        <v>41489</v>
      </c>
      <c r="D8731" s="5">
        <v>41549</v>
      </c>
      <c r="E8731" s="4" t="s">
        <v>1410</v>
      </c>
      <c r="F8731" s="4" t="s">
        <v>7967</v>
      </c>
    </row>
    <row r="8732" spans="1:6" x14ac:dyDescent="0.25">
      <c r="A8732" s="4" t="str">
        <f>CONCATENATE("3071-0000-8748","")</f>
        <v>3071-0000-8748</v>
      </c>
      <c r="B8732" s="4" t="s">
        <v>6570</v>
      </c>
      <c r="C8732" s="5">
        <v>41489</v>
      </c>
      <c r="D8732" s="5">
        <v>41549</v>
      </c>
      <c r="E8732" s="4" t="s">
        <v>5185</v>
      </c>
      <c r="F8732" s="4" t="s">
        <v>5292</v>
      </c>
    </row>
    <row r="8733" spans="1:6" x14ac:dyDescent="0.25">
      <c r="A8733" s="4" t="str">
        <f>CONCATENATE("3071-0000-7068","")</f>
        <v>3071-0000-7068</v>
      </c>
      <c r="B8733" s="4" t="s">
        <v>4716</v>
      </c>
      <c r="C8733" s="5">
        <v>41489</v>
      </c>
      <c r="D8733" s="5">
        <v>41549</v>
      </c>
      <c r="E8733" s="4" t="s">
        <v>1410</v>
      </c>
      <c r="F8733" s="4" t="s">
        <v>1410</v>
      </c>
    </row>
    <row r="8734" spans="1:6" x14ac:dyDescent="0.25">
      <c r="A8734" s="4" t="str">
        <f>CONCATENATE("3071-0000-7629","")</f>
        <v>3071-0000-7629</v>
      </c>
      <c r="B8734" s="4" t="s">
        <v>5171</v>
      </c>
      <c r="C8734" s="5">
        <v>41489</v>
      </c>
      <c r="D8734" s="5">
        <v>41549</v>
      </c>
      <c r="E8734" s="4" t="s">
        <v>1410</v>
      </c>
      <c r="F8734" s="4" t="s">
        <v>4616</v>
      </c>
    </row>
    <row r="8735" spans="1:6" x14ac:dyDescent="0.25">
      <c r="A8735" s="4" t="str">
        <f>CONCATENATE("3071-0000-4694","")</f>
        <v>3071-0000-4694</v>
      </c>
      <c r="B8735" s="4" t="s">
        <v>9587</v>
      </c>
      <c r="C8735" s="5">
        <v>41489</v>
      </c>
      <c r="D8735" s="5">
        <v>41549</v>
      </c>
      <c r="E8735" s="4" t="s">
        <v>1410</v>
      </c>
      <c r="F8735" s="4" t="s">
        <v>8696</v>
      </c>
    </row>
    <row r="8736" spans="1:6" x14ac:dyDescent="0.25">
      <c r="A8736" s="4" t="str">
        <f>CONCATENATE("3071-0000-4861","")</f>
        <v>3071-0000-4861</v>
      </c>
      <c r="B8736" s="4" t="s">
        <v>9633</v>
      </c>
      <c r="C8736" s="5">
        <v>41489</v>
      </c>
      <c r="D8736" s="5">
        <v>41549</v>
      </c>
      <c r="E8736" s="4" t="s">
        <v>7069</v>
      </c>
      <c r="F8736" s="4" t="s">
        <v>9485</v>
      </c>
    </row>
    <row r="8737" spans="1:6" x14ac:dyDescent="0.25">
      <c r="A8737" s="4" t="str">
        <f>CONCATENATE("3071-0000-4591","")</f>
        <v>3071-0000-4591</v>
      </c>
      <c r="B8737" s="4" t="s">
        <v>9622</v>
      </c>
      <c r="C8737" s="5">
        <v>41489</v>
      </c>
      <c r="D8737" s="5">
        <v>41549</v>
      </c>
      <c r="E8737" s="4" t="s">
        <v>1410</v>
      </c>
      <c r="F8737" s="4" t="s">
        <v>8696</v>
      </c>
    </row>
    <row r="8738" spans="1:6" x14ac:dyDescent="0.25">
      <c r="A8738" s="4" t="str">
        <f>CONCATENATE("3071-0000-4225","")</f>
        <v>3071-0000-4225</v>
      </c>
      <c r="B8738" s="4" t="s">
        <v>9507</v>
      </c>
      <c r="C8738" s="5">
        <v>41489</v>
      </c>
      <c r="D8738" s="5">
        <v>41549</v>
      </c>
      <c r="E8738" s="4" t="s">
        <v>7069</v>
      </c>
      <c r="F8738" s="4" t="s">
        <v>9485</v>
      </c>
    </row>
    <row r="8739" spans="1:6" x14ac:dyDescent="0.25">
      <c r="A8739" s="4" t="str">
        <f>CONCATENATE("3071-0000-6254","")</f>
        <v>3071-0000-6254</v>
      </c>
      <c r="B8739" s="4" t="s">
        <v>6986</v>
      </c>
      <c r="C8739" s="5">
        <v>41489</v>
      </c>
      <c r="D8739" s="5">
        <v>41549</v>
      </c>
      <c r="E8739" s="4" t="s">
        <v>1410</v>
      </c>
      <c r="F8739" s="4" t="s">
        <v>2142</v>
      </c>
    </row>
    <row r="8740" spans="1:6" x14ac:dyDescent="0.25">
      <c r="A8740" s="4" t="str">
        <f>CONCATENATE("3071-0000-5381","")</f>
        <v>3071-0000-5381</v>
      </c>
      <c r="B8740" s="4" t="s">
        <v>6823</v>
      </c>
      <c r="C8740" s="5">
        <v>41489</v>
      </c>
      <c r="D8740" s="5">
        <v>41549</v>
      </c>
      <c r="E8740" s="4" t="s">
        <v>5185</v>
      </c>
      <c r="F8740" s="4" t="s">
        <v>5185</v>
      </c>
    </row>
    <row r="8741" spans="1:6" x14ac:dyDescent="0.25">
      <c r="A8741" s="4" t="str">
        <f>CONCATENATE("3071-0000-8329","")</f>
        <v>3071-0000-8329</v>
      </c>
      <c r="B8741" s="4" t="s">
        <v>5855</v>
      </c>
      <c r="C8741" s="5">
        <v>41489</v>
      </c>
      <c r="D8741" s="5">
        <v>41549</v>
      </c>
      <c r="E8741" s="4" t="s">
        <v>5185</v>
      </c>
      <c r="F8741" s="4" t="s">
        <v>5185</v>
      </c>
    </row>
    <row r="8742" spans="1:6" x14ac:dyDescent="0.25">
      <c r="A8742" s="4" t="str">
        <f>CONCATENATE("3071-0000-6219","")</f>
        <v>3071-0000-6219</v>
      </c>
      <c r="B8742" s="4" t="s">
        <v>7051</v>
      </c>
      <c r="C8742" s="5">
        <v>41489</v>
      </c>
      <c r="D8742" s="5">
        <v>41549</v>
      </c>
      <c r="E8742" s="4" t="s">
        <v>1410</v>
      </c>
      <c r="F8742" s="4" t="s">
        <v>6798</v>
      </c>
    </row>
    <row r="8743" spans="1:6" x14ac:dyDescent="0.25">
      <c r="A8743" s="4" t="str">
        <f>CONCATENATE("3071-0000-5690","")</f>
        <v>3071-0000-5690</v>
      </c>
      <c r="B8743" s="4" t="s">
        <v>7415</v>
      </c>
      <c r="C8743" s="5">
        <v>41489</v>
      </c>
      <c r="D8743" s="5">
        <v>41549</v>
      </c>
      <c r="E8743" s="4" t="s">
        <v>5185</v>
      </c>
      <c r="F8743" s="4" t="s">
        <v>5185</v>
      </c>
    </row>
    <row r="8744" spans="1:6" x14ac:dyDescent="0.25">
      <c r="A8744" s="4" t="str">
        <f>CONCATENATE("3071-0000-7657","")</f>
        <v>3071-0000-7657</v>
      </c>
      <c r="B8744" s="4" t="s">
        <v>4881</v>
      </c>
      <c r="C8744" s="5">
        <v>41489</v>
      </c>
      <c r="D8744" s="5">
        <v>41549</v>
      </c>
      <c r="E8744" s="4" t="s">
        <v>1410</v>
      </c>
      <c r="F8744" s="4" t="s">
        <v>4655</v>
      </c>
    </row>
    <row r="8745" spans="1:6" x14ac:dyDescent="0.25">
      <c r="A8745" s="4" t="str">
        <f>CONCATENATE("3071-0000-3930","")</f>
        <v>3071-0000-3930</v>
      </c>
      <c r="B8745" s="4" t="s">
        <v>4078</v>
      </c>
      <c r="C8745" s="5">
        <v>41489</v>
      </c>
      <c r="D8745" s="5">
        <v>41549</v>
      </c>
      <c r="E8745" s="4" t="s">
        <v>1381</v>
      </c>
      <c r="F8745" s="4" t="s">
        <v>4057</v>
      </c>
    </row>
    <row r="8746" spans="1:6" x14ac:dyDescent="0.25">
      <c r="A8746" s="4" t="str">
        <f>CONCATENATE("3071-0000-4471","")</f>
        <v>3071-0000-4471</v>
      </c>
      <c r="B8746" s="4" t="s">
        <v>9357</v>
      </c>
      <c r="C8746" s="5">
        <v>41489</v>
      </c>
      <c r="D8746" s="5">
        <v>41549</v>
      </c>
      <c r="E8746" s="4" t="s">
        <v>1410</v>
      </c>
      <c r="F8746" s="4" t="s">
        <v>8696</v>
      </c>
    </row>
    <row r="8747" spans="1:6" x14ac:dyDescent="0.25">
      <c r="A8747" s="4" t="str">
        <f>CONCATENATE("3071-0000-4436","")</f>
        <v>3071-0000-4436</v>
      </c>
      <c r="B8747" s="4" t="s">
        <v>9307</v>
      </c>
      <c r="C8747" s="5">
        <v>41489</v>
      </c>
      <c r="D8747" s="5">
        <v>41549</v>
      </c>
      <c r="E8747" s="4" t="s">
        <v>1410</v>
      </c>
      <c r="F8747" s="4" t="s">
        <v>8696</v>
      </c>
    </row>
    <row r="8748" spans="1:6" x14ac:dyDescent="0.25">
      <c r="A8748" s="4" t="str">
        <f>CONCATENATE("3071-0000-5583","")</f>
        <v>3071-0000-5583</v>
      </c>
      <c r="B8748" s="4" t="s">
        <v>7507</v>
      </c>
      <c r="C8748" s="5">
        <v>41489</v>
      </c>
      <c r="D8748" s="5">
        <v>41549</v>
      </c>
      <c r="E8748" s="4" t="s">
        <v>5185</v>
      </c>
      <c r="F8748" s="4" t="s">
        <v>5185</v>
      </c>
    </row>
    <row r="8749" spans="1:6" x14ac:dyDescent="0.25">
      <c r="A8749" s="4" t="str">
        <f>CONCATENATE("3071-0000-6371","")</f>
        <v>3071-0000-6371</v>
      </c>
      <c r="B8749" s="4" t="s">
        <v>7902</v>
      </c>
      <c r="C8749" s="5">
        <v>41489</v>
      </c>
      <c r="D8749" s="5">
        <v>41549</v>
      </c>
      <c r="E8749" s="4" t="s">
        <v>5185</v>
      </c>
      <c r="F8749" s="4" t="s">
        <v>5185</v>
      </c>
    </row>
    <row r="8750" spans="1:6" x14ac:dyDescent="0.25">
      <c r="A8750" s="4" t="str">
        <f>CONCATENATE("3071-0000-5089","")</f>
        <v>3071-0000-5089</v>
      </c>
      <c r="B8750" s="4" t="s">
        <v>9345</v>
      </c>
      <c r="C8750" s="5">
        <v>41489</v>
      </c>
      <c r="D8750" s="5">
        <v>41549</v>
      </c>
      <c r="E8750" s="4" t="s">
        <v>7069</v>
      </c>
      <c r="F8750" s="4" t="s">
        <v>9210</v>
      </c>
    </row>
    <row r="8751" spans="1:6" x14ac:dyDescent="0.25">
      <c r="A8751" s="4" t="str">
        <f>CONCATENATE("3071-0000-6346","")</f>
        <v>3071-0000-6346</v>
      </c>
      <c r="B8751" s="4" t="s">
        <v>7863</v>
      </c>
      <c r="C8751" s="5">
        <v>41489</v>
      </c>
      <c r="D8751" s="5">
        <v>41549</v>
      </c>
      <c r="E8751" s="4" t="s">
        <v>5185</v>
      </c>
      <c r="F8751" s="4" t="s">
        <v>5185</v>
      </c>
    </row>
    <row r="8752" spans="1:6" x14ac:dyDescent="0.25">
      <c r="A8752" s="4" t="str">
        <f>CONCATENATE("3071-0000-0394","")</f>
        <v>3071-0000-0394</v>
      </c>
      <c r="B8752" s="4" t="s">
        <v>503</v>
      </c>
      <c r="C8752" s="5">
        <v>41489</v>
      </c>
      <c r="D8752" s="5">
        <v>41549</v>
      </c>
      <c r="E8752" s="4" t="s">
        <v>7</v>
      </c>
      <c r="F8752" s="4" t="s">
        <v>7</v>
      </c>
    </row>
    <row r="8753" spans="1:6" x14ac:dyDescent="0.25">
      <c r="A8753" s="4" t="str">
        <f>CONCATENATE("3071-0000-5036","")</f>
        <v>3071-0000-5036</v>
      </c>
      <c r="B8753" s="4" t="s">
        <v>9378</v>
      </c>
      <c r="C8753" s="5">
        <v>41489</v>
      </c>
      <c r="D8753" s="5">
        <v>41549</v>
      </c>
      <c r="E8753" s="4" t="s">
        <v>7069</v>
      </c>
      <c r="F8753" s="4" t="s">
        <v>9210</v>
      </c>
    </row>
    <row r="8754" spans="1:6" x14ac:dyDescent="0.25">
      <c r="A8754" s="4" t="str">
        <f>CONCATENATE("3071-0000-5096","")</f>
        <v>3071-0000-5096</v>
      </c>
      <c r="B8754" s="4" t="s">
        <v>9426</v>
      </c>
      <c r="C8754" s="5">
        <v>41489</v>
      </c>
      <c r="D8754" s="5">
        <v>41549</v>
      </c>
      <c r="E8754" s="4" t="s">
        <v>7069</v>
      </c>
      <c r="F8754" s="4" t="s">
        <v>9210</v>
      </c>
    </row>
    <row r="8755" spans="1:6" x14ac:dyDescent="0.25">
      <c r="A8755" s="4" t="str">
        <f>CONCATENATE("3071-0000-4363","")</f>
        <v>3071-0000-4363</v>
      </c>
      <c r="B8755" s="4" t="s">
        <v>9415</v>
      </c>
      <c r="C8755" s="5">
        <v>41489</v>
      </c>
      <c r="D8755" s="5">
        <v>41549</v>
      </c>
      <c r="E8755" s="4" t="s">
        <v>1410</v>
      </c>
      <c r="F8755" s="4" t="s">
        <v>8696</v>
      </c>
    </row>
    <row r="8756" spans="1:6" x14ac:dyDescent="0.25">
      <c r="A8756" s="4" t="str">
        <f>CONCATENATE("3071-0000-4907","")</f>
        <v>3071-0000-4907</v>
      </c>
      <c r="B8756" s="4" t="s">
        <v>9379</v>
      </c>
      <c r="C8756" s="5">
        <v>41489</v>
      </c>
      <c r="D8756" s="5">
        <v>41549</v>
      </c>
      <c r="E8756" s="4" t="s">
        <v>7069</v>
      </c>
      <c r="F8756" s="4" t="s">
        <v>9210</v>
      </c>
    </row>
    <row r="8757" spans="1:6" x14ac:dyDescent="0.25">
      <c r="A8757" s="4" t="str">
        <f>CONCATENATE("3071-0000-4381","")</f>
        <v>3071-0000-4381</v>
      </c>
      <c r="B8757" s="4" t="s">
        <v>9230</v>
      </c>
      <c r="C8757" s="5">
        <v>41489</v>
      </c>
      <c r="D8757" s="5">
        <v>41549</v>
      </c>
      <c r="E8757" s="4" t="s">
        <v>1410</v>
      </c>
      <c r="F8757" s="4" t="s">
        <v>8696</v>
      </c>
    </row>
    <row r="8758" spans="1:6" x14ac:dyDescent="0.25">
      <c r="A8758" s="4" t="str">
        <f>CONCATENATE("3071-0000-4386","")</f>
        <v>3071-0000-4386</v>
      </c>
      <c r="B8758" s="4" t="s">
        <v>9239</v>
      </c>
      <c r="C8758" s="5">
        <v>41489</v>
      </c>
      <c r="D8758" s="5">
        <v>41549</v>
      </c>
      <c r="E8758" s="4" t="s">
        <v>1410</v>
      </c>
      <c r="F8758" s="4" t="s">
        <v>8696</v>
      </c>
    </row>
    <row r="8759" spans="1:6" x14ac:dyDescent="0.25">
      <c r="A8759" s="4" t="str">
        <f>CONCATENATE("3071-0000-4407","")</f>
        <v>3071-0000-4407</v>
      </c>
      <c r="B8759" s="4" t="s">
        <v>9268</v>
      </c>
      <c r="C8759" s="5">
        <v>41489</v>
      </c>
      <c r="D8759" s="5">
        <v>41549</v>
      </c>
      <c r="E8759" s="4" t="s">
        <v>1410</v>
      </c>
      <c r="F8759" s="4" t="s">
        <v>8696</v>
      </c>
    </row>
    <row r="8760" spans="1:6" x14ac:dyDescent="0.25">
      <c r="A8760" s="4" t="str">
        <f>CONCATENATE("3071-0000-4668","")</f>
        <v>3071-0000-4668</v>
      </c>
      <c r="B8760" s="4" t="s">
        <v>9179</v>
      </c>
      <c r="C8760" s="5">
        <v>41489</v>
      </c>
      <c r="D8760" s="5">
        <v>41549</v>
      </c>
      <c r="E8760" s="4" t="s">
        <v>1410</v>
      </c>
      <c r="F8760" s="4" t="s">
        <v>8696</v>
      </c>
    </row>
    <row r="8761" spans="1:6" x14ac:dyDescent="0.25">
      <c r="A8761" s="4" t="str">
        <f>CONCATENATE("3071-0000-4385","")</f>
        <v>3071-0000-4385</v>
      </c>
      <c r="B8761" s="4" t="s">
        <v>9236</v>
      </c>
      <c r="C8761" s="5">
        <v>41489</v>
      </c>
      <c r="D8761" s="5">
        <v>41549</v>
      </c>
      <c r="E8761" s="4" t="s">
        <v>1410</v>
      </c>
      <c r="F8761" s="4" t="s">
        <v>8696</v>
      </c>
    </row>
    <row r="8762" spans="1:6" x14ac:dyDescent="0.25">
      <c r="A8762" s="4" t="str">
        <f>CONCATENATE("3071-0000-1353","")</f>
        <v>3071-0000-1353</v>
      </c>
      <c r="B8762" s="4" t="s">
        <v>2497</v>
      </c>
      <c r="C8762" s="5">
        <v>41489</v>
      </c>
      <c r="D8762" s="5">
        <v>41549</v>
      </c>
      <c r="E8762" s="4" t="s">
        <v>1381</v>
      </c>
      <c r="F8762" s="4" t="s">
        <v>2303</v>
      </c>
    </row>
    <row r="8763" spans="1:6" x14ac:dyDescent="0.25">
      <c r="A8763" s="4" t="str">
        <f>CONCATENATE("3071-0000-6400","")</f>
        <v>3071-0000-6400</v>
      </c>
      <c r="B8763" s="4" t="s">
        <v>7827</v>
      </c>
      <c r="C8763" s="5">
        <v>41489</v>
      </c>
      <c r="D8763" s="5">
        <v>41549</v>
      </c>
      <c r="E8763" s="4" t="s">
        <v>5185</v>
      </c>
      <c r="F8763" s="4" t="s">
        <v>5185</v>
      </c>
    </row>
    <row r="8764" spans="1:6" x14ac:dyDescent="0.25">
      <c r="A8764" s="4" t="str">
        <f>CONCATENATE("3071-0000-4380","")</f>
        <v>3071-0000-4380</v>
      </c>
      <c r="B8764" s="4" t="s">
        <v>9229</v>
      </c>
      <c r="C8764" s="5">
        <v>41489</v>
      </c>
      <c r="D8764" s="5">
        <v>41549</v>
      </c>
      <c r="E8764" s="4" t="s">
        <v>1410</v>
      </c>
      <c r="F8764" s="4" t="s">
        <v>8696</v>
      </c>
    </row>
    <row r="8765" spans="1:6" x14ac:dyDescent="0.25">
      <c r="A8765" s="4" t="str">
        <f>CONCATENATE("3071-0000-2061","")</f>
        <v>3071-0000-2061</v>
      </c>
      <c r="B8765" s="4" t="s">
        <v>3433</v>
      </c>
      <c r="C8765" s="5">
        <v>41489</v>
      </c>
      <c r="D8765" s="5">
        <v>41549</v>
      </c>
      <c r="E8765" s="4" t="s">
        <v>2944</v>
      </c>
      <c r="F8765" s="4" t="s">
        <v>2945</v>
      </c>
    </row>
    <row r="8766" spans="1:6" x14ac:dyDescent="0.25">
      <c r="A8766" s="4" t="str">
        <f>CONCATENATE("3071-0000-2318","")</f>
        <v>3071-0000-2318</v>
      </c>
      <c r="B8766" s="4" t="s">
        <v>3018</v>
      </c>
      <c r="C8766" s="5">
        <v>41489</v>
      </c>
      <c r="D8766" s="5">
        <v>41549</v>
      </c>
      <c r="E8766" s="4" t="s">
        <v>2944</v>
      </c>
      <c r="F8766" s="4" t="s">
        <v>2945</v>
      </c>
    </row>
    <row r="8767" spans="1:6" x14ac:dyDescent="0.25">
      <c r="A8767" s="4" t="str">
        <f>CONCATENATE("3071-0000-2445","")</f>
        <v>3071-0000-2445</v>
      </c>
      <c r="B8767" s="4" t="s">
        <v>3023</v>
      </c>
      <c r="C8767" s="5">
        <v>41489</v>
      </c>
      <c r="D8767" s="5">
        <v>41549</v>
      </c>
      <c r="E8767" s="4" t="s">
        <v>2944</v>
      </c>
      <c r="F8767" s="4" t="s">
        <v>2945</v>
      </c>
    </row>
    <row r="8768" spans="1:6" x14ac:dyDescent="0.25">
      <c r="A8768" s="4" t="str">
        <f>CONCATENATE("3071-0000-6327","")</f>
        <v>3071-0000-6327</v>
      </c>
      <c r="B8768" s="4" t="s">
        <v>7081</v>
      </c>
      <c r="C8768" s="5">
        <v>41489</v>
      </c>
      <c r="D8768" s="5">
        <v>41549</v>
      </c>
      <c r="E8768" s="4" t="s">
        <v>7069</v>
      </c>
      <c r="F8768" s="4" t="s">
        <v>7070</v>
      </c>
    </row>
    <row r="8769" spans="1:6" x14ac:dyDescent="0.25">
      <c r="A8769" s="4" t="str">
        <f>CONCATENATE("3071-0000-7496","")</f>
        <v>3071-0000-7496</v>
      </c>
      <c r="B8769" s="4" t="s">
        <v>4422</v>
      </c>
      <c r="C8769" s="5">
        <v>41489</v>
      </c>
      <c r="D8769" s="5">
        <v>41549</v>
      </c>
      <c r="E8769" s="4" t="s">
        <v>1410</v>
      </c>
      <c r="F8769" s="4" t="s">
        <v>1410</v>
      </c>
    </row>
    <row r="8770" spans="1:6" x14ac:dyDescent="0.25">
      <c r="A8770" s="4" t="str">
        <f>CONCATENATE("3071-0000-5781","")</f>
        <v>3071-0000-5781</v>
      </c>
      <c r="B8770" s="4" t="s">
        <v>7514</v>
      </c>
      <c r="C8770" s="5">
        <v>41489</v>
      </c>
      <c r="D8770" s="5">
        <v>41549</v>
      </c>
      <c r="E8770" s="4" t="s">
        <v>5185</v>
      </c>
      <c r="F8770" s="4" t="s">
        <v>5185</v>
      </c>
    </row>
    <row r="8771" spans="1:6" x14ac:dyDescent="0.25">
      <c r="A8771" s="4" t="str">
        <f>CONCATENATE("3071-0000-6535","")</f>
        <v>3071-0000-6535</v>
      </c>
      <c r="B8771" s="4" t="s">
        <v>7962</v>
      </c>
      <c r="C8771" s="5">
        <v>41489</v>
      </c>
      <c r="D8771" s="5">
        <v>41549</v>
      </c>
      <c r="E8771" s="4" t="s">
        <v>5185</v>
      </c>
      <c r="F8771" s="4" t="s">
        <v>5185</v>
      </c>
    </row>
    <row r="8772" spans="1:6" x14ac:dyDescent="0.25">
      <c r="A8772" s="4" t="str">
        <f>CONCATENATE("3071-0000-6425","")</f>
        <v>3071-0000-6425</v>
      </c>
      <c r="B8772" s="4" t="s">
        <v>8130</v>
      </c>
      <c r="C8772" s="5">
        <v>41489</v>
      </c>
      <c r="D8772" s="5">
        <v>41549</v>
      </c>
      <c r="E8772" s="4" t="s">
        <v>5185</v>
      </c>
      <c r="F8772" s="4" t="s">
        <v>5185</v>
      </c>
    </row>
    <row r="8773" spans="1:6" x14ac:dyDescent="0.25">
      <c r="A8773" s="4" t="str">
        <f>CONCATENATE("3071-0000-3918","")</f>
        <v>3071-0000-3918</v>
      </c>
      <c r="B8773" s="4" t="s">
        <v>4064</v>
      </c>
      <c r="C8773" s="5">
        <v>41489</v>
      </c>
      <c r="D8773" s="5">
        <v>41549</v>
      </c>
      <c r="E8773" s="4" t="s">
        <v>1381</v>
      </c>
      <c r="F8773" s="4" t="s">
        <v>4057</v>
      </c>
    </row>
    <row r="8774" spans="1:6" x14ac:dyDescent="0.25">
      <c r="A8774" s="4" t="str">
        <f>CONCATENATE("3071-0000-9287","")</f>
        <v>3071-0000-9287</v>
      </c>
      <c r="B8774" s="4" t="s">
        <v>8333</v>
      </c>
      <c r="C8774" s="5">
        <v>41489</v>
      </c>
      <c r="D8774" s="5">
        <v>41549</v>
      </c>
      <c r="E8774" s="4" t="s">
        <v>5185</v>
      </c>
      <c r="F8774" s="4" t="s">
        <v>5185</v>
      </c>
    </row>
    <row r="8775" spans="1:6" x14ac:dyDescent="0.25">
      <c r="A8775" s="4" t="str">
        <f>CONCATENATE("3071-0000-9249","")</f>
        <v>3071-0000-9249</v>
      </c>
      <c r="B8775" s="4" t="s">
        <v>8334</v>
      </c>
      <c r="C8775" s="5">
        <v>41489</v>
      </c>
      <c r="D8775" s="5">
        <v>41549</v>
      </c>
      <c r="E8775" s="4" t="s">
        <v>5185</v>
      </c>
      <c r="F8775" s="4" t="s">
        <v>5185</v>
      </c>
    </row>
    <row r="8776" spans="1:6" x14ac:dyDescent="0.25">
      <c r="A8776" s="4" t="str">
        <f>CONCATENATE("3071-0000-3942","")</f>
        <v>3071-0000-3942</v>
      </c>
      <c r="B8776" s="4" t="s">
        <v>4086</v>
      </c>
      <c r="C8776" s="5">
        <v>41489</v>
      </c>
      <c r="D8776" s="5">
        <v>41549</v>
      </c>
      <c r="E8776" s="4" t="s">
        <v>1381</v>
      </c>
      <c r="F8776" s="4" t="s">
        <v>4057</v>
      </c>
    </row>
    <row r="8777" spans="1:6" x14ac:dyDescent="0.25">
      <c r="A8777" s="4" t="str">
        <f>CONCATENATE("3071-0000-2895","")</f>
        <v>3071-0000-2895</v>
      </c>
      <c r="B8777" s="4" t="s">
        <v>923</v>
      </c>
      <c r="C8777" s="5">
        <v>41489</v>
      </c>
      <c r="D8777" s="5">
        <v>41549</v>
      </c>
      <c r="E8777" s="4" t="s">
        <v>7</v>
      </c>
      <c r="F8777" s="4" t="s">
        <v>808</v>
      </c>
    </row>
    <row r="8778" spans="1:6" x14ac:dyDescent="0.25">
      <c r="A8778" s="4" t="str">
        <f>CONCATENATE("3071-0000-7875","")</f>
        <v>3071-0000-7875</v>
      </c>
      <c r="B8778" s="4" t="s">
        <v>5495</v>
      </c>
      <c r="C8778" s="5">
        <v>41489</v>
      </c>
      <c r="D8778" s="5">
        <v>41549</v>
      </c>
      <c r="E8778" s="4" t="s">
        <v>5185</v>
      </c>
      <c r="F8778" s="4" t="s">
        <v>5185</v>
      </c>
    </row>
    <row r="8779" spans="1:6" x14ac:dyDescent="0.25">
      <c r="A8779" s="4" t="str">
        <f>CONCATENATE("3071-0000-7648","")</f>
        <v>3071-0000-7648</v>
      </c>
      <c r="B8779" s="4" t="s">
        <v>5165</v>
      </c>
      <c r="C8779" s="5">
        <v>41489</v>
      </c>
      <c r="D8779" s="5">
        <v>41549</v>
      </c>
      <c r="E8779" s="4" t="s">
        <v>1410</v>
      </c>
      <c r="F8779" s="4" t="s">
        <v>4616</v>
      </c>
    </row>
    <row r="8780" spans="1:6" x14ac:dyDescent="0.25">
      <c r="A8780" s="4" t="str">
        <f>CONCATENATE("3071-0000-8757","")</f>
        <v>3071-0000-8757</v>
      </c>
      <c r="B8780" s="4" t="s">
        <v>6400</v>
      </c>
      <c r="C8780" s="5">
        <v>41489</v>
      </c>
      <c r="D8780" s="5">
        <v>41549</v>
      </c>
      <c r="E8780" s="4" t="s">
        <v>5185</v>
      </c>
      <c r="F8780" s="4" t="s">
        <v>5292</v>
      </c>
    </row>
    <row r="8781" spans="1:6" x14ac:dyDescent="0.25">
      <c r="A8781" s="4" t="str">
        <f>CONCATENATE("3071-0000-5418","")</f>
        <v>3071-0000-5418</v>
      </c>
      <c r="B8781" s="4" t="s">
        <v>6909</v>
      </c>
      <c r="C8781" s="5">
        <v>41489</v>
      </c>
      <c r="D8781" s="5">
        <v>41549</v>
      </c>
      <c r="E8781" s="4" t="s">
        <v>5185</v>
      </c>
      <c r="F8781" s="4" t="s">
        <v>5185</v>
      </c>
    </row>
    <row r="8782" spans="1:6" x14ac:dyDescent="0.25">
      <c r="A8782" s="4" t="str">
        <f>CONCATENATE("3071-0000-8714","")</f>
        <v>3071-0000-8714</v>
      </c>
      <c r="B8782" s="4" t="s">
        <v>6450</v>
      </c>
      <c r="C8782" s="5">
        <v>41489</v>
      </c>
      <c r="D8782" s="5">
        <v>41549</v>
      </c>
      <c r="E8782" s="4" t="s">
        <v>5185</v>
      </c>
      <c r="F8782" s="4" t="s">
        <v>5292</v>
      </c>
    </row>
    <row r="8783" spans="1:6" x14ac:dyDescent="0.25">
      <c r="A8783" s="4" t="str">
        <f>CONCATENATE("3071-0000-4269","")</f>
        <v>3071-0000-4269</v>
      </c>
      <c r="B8783" s="4" t="s">
        <v>8921</v>
      </c>
      <c r="C8783" s="5">
        <v>41489</v>
      </c>
      <c r="D8783" s="5">
        <v>41549</v>
      </c>
      <c r="E8783" s="4" t="s">
        <v>1410</v>
      </c>
      <c r="F8783" s="4" t="s">
        <v>8696</v>
      </c>
    </row>
    <row r="8784" spans="1:6" x14ac:dyDescent="0.25">
      <c r="A8784" s="4" t="str">
        <f>CONCATENATE("3071-0000-7065","")</f>
        <v>3071-0000-7065</v>
      </c>
      <c r="B8784" s="4" t="s">
        <v>4851</v>
      </c>
      <c r="C8784" s="5">
        <v>41489</v>
      </c>
      <c r="D8784" s="5">
        <v>41549</v>
      </c>
      <c r="E8784" s="4" t="s">
        <v>1410</v>
      </c>
      <c r="F8784" s="4" t="s">
        <v>1410</v>
      </c>
    </row>
    <row r="8785" spans="1:6" x14ac:dyDescent="0.25">
      <c r="A8785" s="4" t="str">
        <f>CONCATENATE("3071-0000-5104","")</f>
        <v>3071-0000-5104</v>
      </c>
      <c r="B8785" s="4" t="s">
        <v>8920</v>
      </c>
      <c r="C8785" s="5">
        <v>41489</v>
      </c>
      <c r="D8785" s="5">
        <v>41549</v>
      </c>
      <c r="E8785" s="4" t="s">
        <v>1410</v>
      </c>
      <c r="F8785" s="4" t="s">
        <v>8903</v>
      </c>
    </row>
    <row r="8786" spans="1:6" x14ac:dyDescent="0.25">
      <c r="A8786" s="4" t="str">
        <f>CONCATENATE("3071-0000-4809","")</f>
        <v>3071-0000-4809</v>
      </c>
      <c r="B8786" s="4" t="s">
        <v>9208</v>
      </c>
      <c r="C8786" s="5">
        <v>41489</v>
      </c>
      <c r="D8786" s="5">
        <v>41549</v>
      </c>
      <c r="E8786" s="4" t="s">
        <v>1410</v>
      </c>
      <c r="F8786" s="4" t="s">
        <v>8696</v>
      </c>
    </row>
    <row r="8787" spans="1:6" x14ac:dyDescent="0.25">
      <c r="A8787" s="4" t="str">
        <f>CONCATENATE("3071-0000-1518","")</f>
        <v>3071-0000-1518</v>
      </c>
      <c r="B8787" s="4" t="s">
        <v>2844</v>
      </c>
      <c r="C8787" s="5">
        <v>41489</v>
      </c>
      <c r="D8787" s="5">
        <v>41549</v>
      </c>
      <c r="E8787" s="4" t="s">
        <v>1381</v>
      </c>
      <c r="F8787" s="4" t="s">
        <v>2303</v>
      </c>
    </row>
    <row r="8788" spans="1:6" x14ac:dyDescent="0.25">
      <c r="A8788" s="4" t="str">
        <f>CONCATENATE("3071-0000-2382","")</f>
        <v>3071-0000-2382</v>
      </c>
      <c r="B8788" s="4" t="s">
        <v>3734</v>
      </c>
      <c r="C8788" s="5">
        <v>41489</v>
      </c>
      <c r="D8788" s="5">
        <v>41549</v>
      </c>
      <c r="E8788" s="4" t="s">
        <v>2944</v>
      </c>
      <c r="F8788" s="4" t="s">
        <v>3593</v>
      </c>
    </row>
    <row r="8789" spans="1:6" x14ac:dyDescent="0.25">
      <c r="A8789" s="4" t="str">
        <f>CONCATENATE("3071-0000-5615","")</f>
        <v>3071-0000-5615</v>
      </c>
      <c r="B8789" s="4" t="s">
        <v>7127</v>
      </c>
      <c r="C8789" s="5">
        <v>41489</v>
      </c>
      <c r="D8789" s="5">
        <v>41549</v>
      </c>
      <c r="E8789" s="4" t="s">
        <v>5185</v>
      </c>
      <c r="F8789" s="4" t="s">
        <v>5185</v>
      </c>
    </row>
    <row r="8790" spans="1:6" x14ac:dyDescent="0.25">
      <c r="A8790" s="4" t="str">
        <f>CONCATENATE("3071-0000-5720","")</f>
        <v>3071-0000-5720</v>
      </c>
      <c r="B8790" s="4" t="s">
        <v>7158</v>
      </c>
      <c r="C8790" s="5">
        <v>41489</v>
      </c>
      <c r="D8790" s="5">
        <v>41549</v>
      </c>
      <c r="E8790" s="4" t="s">
        <v>5185</v>
      </c>
      <c r="F8790" s="4" t="s">
        <v>5185</v>
      </c>
    </row>
    <row r="8791" spans="1:6" x14ac:dyDescent="0.25">
      <c r="A8791" s="4" t="str">
        <f>CONCATENATE("3071-0000-5624","")</f>
        <v>3071-0000-5624</v>
      </c>
      <c r="B8791" s="4" t="s">
        <v>7207</v>
      </c>
      <c r="C8791" s="5">
        <v>41489</v>
      </c>
      <c r="D8791" s="5">
        <v>41549</v>
      </c>
      <c r="E8791" s="4" t="s">
        <v>5185</v>
      </c>
      <c r="F8791" s="4" t="s">
        <v>5185</v>
      </c>
    </row>
    <row r="8792" spans="1:6" x14ac:dyDescent="0.25">
      <c r="A8792" s="4" t="str">
        <f>CONCATENATE("3071-0000-7121","")</f>
        <v>3071-0000-7121</v>
      </c>
      <c r="B8792" s="4" t="s">
        <v>4792</v>
      </c>
      <c r="C8792" s="5">
        <v>41489</v>
      </c>
      <c r="D8792" s="5">
        <v>41549</v>
      </c>
      <c r="E8792" s="4" t="s">
        <v>1410</v>
      </c>
      <c r="F8792" s="4" t="s">
        <v>1410</v>
      </c>
    </row>
    <row r="8793" spans="1:6" x14ac:dyDescent="0.25">
      <c r="A8793" s="4" t="str">
        <f>CONCATENATE("3071-0000-2247","")</f>
        <v>3071-0000-2247</v>
      </c>
      <c r="B8793" s="4" t="s">
        <v>3500</v>
      </c>
      <c r="C8793" s="5">
        <v>41489</v>
      </c>
      <c r="D8793" s="5">
        <v>41549</v>
      </c>
      <c r="E8793" s="4" t="s">
        <v>2944</v>
      </c>
      <c r="F8793" s="4" t="s">
        <v>2945</v>
      </c>
    </row>
    <row r="8794" spans="1:6" x14ac:dyDescent="0.25">
      <c r="A8794" s="4" t="str">
        <f>CONCATENATE("3071-0000-7990","")</f>
        <v>3071-0000-7990</v>
      </c>
      <c r="B8794" s="4" t="s">
        <v>5873</v>
      </c>
      <c r="C8794" s="5">
        <v>41489</v>
      </c>
      <c r="D8794" s="5">
        <v>41549</v>
      </c>
      <c r="E8794" s="4" t="s">
        <v>5185</v>
      </c>
      <c r="F8794" s="4" t="s">
        <v>5185</v>
      </c>
    </row>
    <row r="8795" spans="1:6" x14ac:dyDescent="0.25">
      <c r="A8795" s="4" t="str">
        <f>CONCATENATE("3071-0000-5119","")</f>
        <v>3071-0000-5119</v>
      </c>
      <c r="B8795" s="4" t="s">
        <v>8997</v>
      </c>
      <c r="C8795" s="5">
        <v>41489</v>
      </c>
      <c r="D8795" s="5">
        <v>41549</v>
      </c>
      <c r="E8795" s="4" t="s">
        <v>1410</v>
      </c>
      <c r="F8795" s="4" t="s">
        <v>8903</v>
      </c>
    </row>
    <row r="8796" spans="1:6" x14ac:dyDescent="0.25">
      <c r="A8796" s="4" t="str">
        <f>CONCATENATE("3071-0000-7101","")</f>
        <v>3071-0000-7101</v>
      </c>
      <c r="B8796" s="4" t="s">
        <v>4742</v>
      </c>
      <c r="C8796" s="5">
        <v>41489</v>
      </c>
      <c r="D8796" s="5">
        <v>41549</v>
      </c>
      <c r="E8796" s="4" t="s">
        <v>1410</v>
      </c>
      <c r="F8796" s="4" t="s">
        <v>1410</v>
      </c>
    </row>
    <row r="8797" spans="1:6" x14ac:dyDescent="0.25">
      <c r="A8797" s="4" t="str">
        <f>CONCATENATE("3071-0000-2185","")</f>
        <v>3071-0000-2185</v>
      </c>
      <c r="B8797" s="4" t="s">
        <v>3672</v>
      </c>
      <c r="C8797" s="5">
        <v>41489</v>
      </c>
      <c r="D8797" s="5">
        <v>41549</v>
      </c>
      <c r="E8797" s="4" t="s">
        <v>2944</v>
      </c>
      <c r="F8797" s="4" t="s">
        <v>2945</v>
      </c>
    </row>
    <row r="8798" spans="1:6" x14ac:dyDescent="0.25">
      <c r="A8798" s="4" t="str">
        <f>CONCATENATE("3071-0000-4058","")</f>
        <v>3071-0000-4058</v>
      </c>
      <c r="B8798" s="4" t="s">
        <v>3992</v>
      </c>
      <c r="C8798" s="5">
        <v>41489</v>
      </c>
      <c r="D8798" s="5">
        <v>41549</v>
      </c>
      <c r="E8798" s="4" t="s">
        <v>7</v>
      </c>
      <c r="F8798" s="4" t="s">
        <v>1419</v>
      </c>
    </row>
    <row r="8799" spans="1:6" x14ac:dyDescent="0.25">
      <c r="A8799" s="4" t="str">
        <f>CONCATENATE("3071-0000-9034","")</f>
        <v>3071-0000-9034</v>
      </c>
      <c r="B8799" s="4" t="s">
        <v>6346</v>
      </c>
      <c r="C8799" s="5">
        <v>41489</v>
      </c>
      <c r="D8799" s="5">
        <v>41549</v>
      </c>
      <c r="E8799" s="4" t="s">
        <v>5185</v>
      </c>
      <c r="F8799" s="4" t="s">
        <v>5292</v>
      </c>
    </row>
    <row r="8800" spans="1:6" x14ac:dyDescent="0.25">
      <c r="A8800" s="4" t="str">
        <f>CONCATENATE("3071-0000-2086","")</f>
        <v>3071-0000-2086</v>
      </c>
      <c r="B8800" s="4" t="s">
        <v>3472</v>
      </c>
      <c r="C8800" s="5">
        <v>41489</v>
      </c>
      <c r="D8800" s="5">
        <v>41549</v>
      </c>
      <c r="E8800" s="4" t="s">
        <v>2944</v>
      </c>
      <c r="F8800" s="4" t="s">
        <v>2945</v>
      </c>
    </row>
    <row r="8801" spans="1:6" x14ac:dyDescent="0.25">
      <c r="A8801" s="4" t="str">
        <f>CONCATENATE("3071-0000-5197","")</f>
        <v>3071-0000-5197</v>
      </c>
      <c r="B8801" s="4" t="s">
        <v>8731</v>
      </c>
      <c r="C8801" s="5">
        <v>41489</v>
      </c>
      <c r="D8801" s="5">
        <v>41549</v>
      </c>
      <c r="E8801" s="4" t="s">
        <v>1410</v>
      </c>
      <c r="F8801" s="4" t="s">
        <v>8696</v>
      </c>
    </row>
    <row r="8802" spans="1:6" x14ac:dyDescent="0.25">
      <c r="A8802" s="4" t="str">
        <f>CONCATENATE("3071-0000-2107","")</f>
        <v>3071-0000-2107</v>
      </c>
      <c r="B8802" s="4" t="s">
        <v>3499</v>
      </c>
      <c r="C8802" s="5">
        <v>41489</v>
      </c>
      <c r="D8802" s="5">
        <v>41549</v>
      </c>
      <c r="E8802" s="4" t="s">
        <v>2944</v>
      </c>
      <c r="F8802" s="4" t="s">
        <v>2945</v>
      </c>
    </row>
    <row r="8803" spans="1:6" x14ac:dyDescent="0.25">
      <c r="A8803" s="4" t="str">
        <f>CONCATENATE("3071-0000-8709","")</f>
        <v>3071-0000-8709</v>
      </c>
      <c r="B8803" s="4" t="s">
        <v>6492</v>
      </c>
      <c r="C8803" s="5">
        <v>41489</v>
      </c>
      <c r="D8803" s="5">
        <v>41549</v>
      </c>
      <c r="E8803" s="4" t="s">
        <v>5185</v>
      </c>
      <c r="F8803" s="4" t="s">
        <v>5292</v>
      </c>
    </row>
    <row r="8804" spans="1:6" x14ac:dyDescent="0.25">
      <c r="A8804" s="4" t="str">
        <f>CONCATENATE("3071-0000-8681","")</f>
        <v>3071-0000-8681</v>
      </c>
      <c r="B8804" s="4" t="s">
        <v>6381</v>
      </c>
      <c r="C8804" s="5">
        <v>41489</v>
      </c>
      <c r="D8804" s="5">
        <v>41549</v>
      </c>
      <c r="E8804" s="4" t="s">
        <v>5185</v>
      </c>
      <c r="F8804" s="4" t="s">
        <v>5292</v>
      </c>
    </row>
    <row r="8805" spans="1:6" x14ac:dyDescent="0.25">
      <c r="A8805" s="4" t="str">
        <f>CONCATENATE("3071-0000-5020","")</f>
        <v>3071-0000-5020</v>
      </c>
      <c r="B8805" s="4" t="s">
        <v>9384</v>
      </c>
      <c r="C8805" s="5">
        <v>41489</v>
      </c>
      <c r="D8805" s="5">
        <v>41549</v>
      </c>
      <c r="E8805" s="4" t="s">
        <v>7069</v>
      </c>
      <c r="F8805" s="4" t="s">
        <v>9210</v>
      </c>
    </row>
    <row r="8806" spans="1:6" x14ac:dyDescent="0.25">
      <c r="A8806" s="4" t="str">
        <f>CONCATENATE("3071-0000-1944","")</f>
        <v>3071-0000-1944</v>
      </c>
      <c r="B8806" s="4" t="s">
        <v>3047</v>
      </c>
      <c r="C8806" s="5">
        <v>41489</v>
      </c>
      <c r="D8806" s="5">
        <v>41549</v>
      </c>
      <c r="E8806" s="4" t="s">
        <v>2944</v>
      </c>
      <c r="F8806" s="4" t="s">
        <v>2945</v>
      </c>
    </row>
    <row r="8807" spans="1:6" x14ac:dyDescent="0.25">
      <c r="A8807" s="4" t="str">
        <f>CONCATENATE("3071-0000-7418","")</f>
        <v>3071-0000-7418</v>
      </c>
      <c r="B8807" s="4" t="s">
        <v>4378</v>
      </c>
      <c r="C8807" s="5">
        <v>41489</v>
      </c>
      <c r="D8807" s="5">
        <v>41549</v>
      </c>
      <c r="E8807" s="4" t="s">
        <v>1410</v>
      </c>
      <c r="F8807" s="4" t="s">
        <v>1410</v>
      </c>
    </row>
    <row r="8808" spans="1:6" s="1" customFormat="1" x14ac:dyDescent="0.25">
      <c r="A8808" s="6" t="str">
        <f>CONCATENATE("3071-0000-2287","")</f>
        <v>3071-0000-2287</v>
      </c>
      <c r="B8808" s="6" t="s">
        <v>3732</v>
      </c>
      <c r="C8808" s="7">
        <v>41489</v>
      </c>
      <c r="D8808" s="7">
        <v>41549</v>
      </c>
      <c r="E8808" s="6" t="s">
        <v>2944</v>
      </c>
      <c r="F8808" s="6" t="s">
        <v>2945</v>
      </c>
    </row>
    <row r="8809" spans="1:6" x14ac:dyDescent="0.25">
      <c r="A8809" s="4" t="str">
        <f>CONCATENATE("3071-0000-8754","")</f>
        <v>3071-0000-8754</v>
      </c>
      <c r="B8809" s="4" t="s">
        <v>6519</v>
      </c>
      <c r="C8809" s="5">
        <v>41489</v>
      </c>
      <c r="D8809" s="5">
        <v>41549</v>
      </c>
      <c r="E8809" s="4" t="s">
        <v>5185</v>
      </c>
      <c r="F8809" s="4" t="s">
        <v>5292</v>
      </c>
    </row>
    <row r="8810" spans="1:6" x14ac:dyDescent="0.25">
      <c r="A8810" s="4" t="str">
        <f>CONCATENATE("3071-0000-9038","")</f>
        <v>3071-0000-9038</v>
      </c>
      <c r="B8810" s="4" t="s">
        <v>6313</v>
      </c>
      <c r="C8810" s="5">
        <v>41489</v>
      </c>
      <c r="D8810" s="5">
        <v>41549</v>
      </c>
      <c r="E8810" s="4" t="s">
        <v>5185</v>
      </c>
      <c r="F8810" s="4" t="s">
        <v>5292</v>
      </c>
    </row>
    <row r="8811" spans="1:6" x14ac:dyDescent="0.25">
      <c r="A8811" s="4" t="str">
        <f>CONCATENATE("3071-0000-8846","")</f>
        <v>3071-0000-8846</v>
      </c>
      <c r="B8811" s="4" t="s">
        <v>6323</v>
      </c>
      <c r="C8811" s="5">
        <v>41489</v>
      </c>
      <c r="D8811" s="5">
        <v>41549</v>
      </c>
      <c r="E8811" s="4" t="s">
        <v>5185</v>
      </c>
      <c r="F8811" s="4" t="s">
        <v>5292</v>
      </c>
    </row>
    <row r="8812" spans="1:6" x14ac:dyDescent="0.25">
      <c r="A8812" s="4" t="str">
        <f>CONCATENATE("3071-0000-0041","")</f>
        <v>3071-0000-0041</v>
      </c>
      <c r="B8812" s="4" t="s">
        <v>74</v>
      </c>
      <c r="C8812" s="5">
        <v>41489</v>
      </c>
      <c r="D8812" s="5">
        <v>41549</v>
      </c>
      <c r="E8812" s="4" t="s">
        <v>7</v>
      </c>
      <c r="F8812" s="4" t="s">
        <v>7</v>
      </c>
    </row>
    <row r="8813" spans="1:6" x14ac:dyDescent="0.25">
      <c r="A8813" s="4" t="str">
        <f>CONCATENATE("3071-0000-0532","")</f>
        <v>3071-0000-0532</v>
      </c>
      <c r="B8813" s="4" t="s">
        <v>151</v>
      </c>
      <c r="C8813" s="5">
        <v>41489</v>
      </c>
      <c r="D8813" s="5">
        <v>41549</v>
      </c>
      <c r="E8813" s="4" t="s">
        <v>7</v>
      </c>
      <c r="F8813" s="4" t="s">
        <v>7</v>
      </c>
    </row>
    <row r="8814" spans="1:6" x14ac:dyDescent="0.25">
      <c r="A8814" s="4" t="str">
        <f>CONCATENATE("3071-0000-1825","")</f>
        <v>3071-0000-1825</v>
      </c>
      <c r="B8814" s="4" t="s">
        <v>2525</v>
      </c>
      <c r="C8814" s="5">
        <v>41489</v>
      </c>
      <c r="D8814" s="5">
        <v>41549</v>
      </c>
      <c r="E8814" s="4" t="s">
        <v>1381</v>
      </c>
      <c r="F8814" s="4" t="s">
        <v>2303</v>
      </c>
    </row>
    <row r="8815" spans="1:6" x14ac:dyDescent="0.25">
      <c r="A8815" s="4" t="str">
        <f>CONCATENATE("3071-0000-4350","")</f>
        <v>3071-0000-4350</v>
      </c>
      <c r="B8815" s="4" t="s">
        <v>9116</v>
      </c>
      <c r="C8815" s="5">
        <v>41489</v>
      </c>
      <c r="D8815" s="5">
        <v>41549</v>
      </c>
      <c r="E8815" s="4" t="s">
        <v>1410</v>
      </c>
      <c r="F8815" s="4" t="s">
        <v>8696</v>
      </c>
    </row>
    <row r="8816" spans="1:6" x14ac:dyDescent="0.25">
      <c r="A8816" s="4" t="str">
        <f>CONCATENATE("3071-0000-6860","")</f>
        <v>3071-0000-6860</v>
      </c>
      <c r="B8816" s="4" t="s">
        <v>7942</v>
      </c>
      <c r="C8816" s="5">
        <v>41489</v>
      </c>
      <c r="D8816" s="5">
        <v>41549</v>
      </c>
      <c r="E8816" s="4" t="s">
        <v>1410</v>
      </c>
      <c r="F8816" s="4" t="s">
        <v>4655</v>
      </c>
    </row>
    <row r="8817" spans="1:6" x14ac:dyDescent="0.25">
      <c r="A8817" s="4" t="str">
        <f>CONCATENATE("3071-0000-4618","")</f>
        <v>3071-0000-4618</v>
      </c>
      <c r="B8817" s="4" t="s">
        <v>9149</v>
      </c>
      <c r="C8817" s="5">
        <v>41489</v>
      </c>
      <c r="D8817" s="5">
        <v>41549</v>
      </c>
      <c r="E8817" s="4" t="s">
        <v>1410</v>
      </c>
      <c r="F8817" s="4" t="s">
        <v>8696</v>
      </c>
    </row>
    <row r="8818" spans="1:6" x14ac:dyDescent="0.25">
      <c r="A8818" s="4" t="str">
        <f>CONCATENATE("3071-0000-0628","")</f>
        <v>3071-0000-0628</v>
      </c>
      <c r="B8818" s="4" t="s">
        <v>782</v>
      </c>
      <c r="C8818" s="5">
        <v>41489</v>
      </c>
      <c r="D8818" s="5">
        <v>41549</v>
      </c>
      <c r="E8818" s="4" t="s">
        <v>7</v>
      </c>
      <c r="F8818" s="4" t="s">
        <v>7</v>
      </c>
    </row>
    <row r="8819" spans="1:6" x14ac:dyDescent="0.25">
      <c r="A8819" s="4" t="str">
        <f>CONCATENATE("3071-0000-0625","")</f>
        <v>3071-0000-0625</v>
      </c>
      <c r="B8819" s="4" t="s">
        <v>778</v>
      </c>
      <c r="C8819" s="5">
        <v>41489</v>
      </c>
      <c r="D8819" s="5">
        <v>41549</v>
      </c>
      <c r="E8819" s="4" t="s">
        <v>7</v>
      </c>
      <c r="F8819" s="4" t="s">
        <v>7</v>
      </c>
    </row>
    <row r="8820" spans="1:6" x14ac:dyDescent="0.25">
      <c r="A8820" s="4" t="str">
        <f>CONCATENATE("3071-0000-8777","")</f>
        <v>3071-0000-8777</v>
      </c>
      <c r="B8820" s="4" t="s">
        <v>6583</v>
      </c>
      <c r="C8820" s="5">
        <v>41489</v>
      </c>
      <c r="D8820" s="5">
        <v>41549</v>
      </c>
      <c r="E8820" s="4" t="s">
        <v>5185</v>
      </c>
      <c r="F8820" s="4" t="s">
        <v>5292</v>
      </c>
    </row>
    <row r="8821" spans="1:6" x14ac:dyDescent="0.25">
      <c r="A8821" s="4" t="str">
        <f>CONCATENATE("3071-0000-1031","")</f>
        <v>3071-0000-1031</v>
      </c>
      <c r="B8821" s="4" t="s">
        <v>1899</v>
      </c>
      <c r="C8821" s="5">
        <v>41489</v>
      </c>
      <c r="D8821" s="5">
        <v>41549</v>
      </c>
      <c r="E8821" s="4" t="s">
        <v>1857</v>
      </c>
      <c r="F8821" s="4" t="s">
        <v>1857</v>
      </c>
    </row>
    <row r="8822" spans="1:6" x14ac:dyDescent="0.25">
      <c r="A8822" s="4" t="str">
        <f>CONCATENATE("3071-0000-2547","")</f>
        <v>3071-0000-2547</v>
      </c>
      <c r="B8822" s="4" t="s">
        <v>3796</v>
      </c>
      <c r="C8822" s="5">
        <v>41489</v>
      </c>
      <c r="D8822" s="5">
        <v>41549</v>
      </c>
      <c r="E8822" s="4" t="s">
        <v>2944</v>
      </c>
      <c r="F8822" s="4" t="s">
        <v>3115</v>
      </c>
    </row>
    <row r="8823" spans="1:6" x14ac:dyDescent="0.25">
      <c r="A8823" s="4" t="str">
        <f>CONCATENATE("3071-0000-1545","")</f>
        <v>3071-0000-1545</v>
      </c>
      <c r="B8823" s="4" t="s">
        <v>2865</v>
      </c>
      <c r="C8823" s="5">
        <v>41489</v>
      </c>
      <c r="D8823" s="5">
        <v>41549</v>
      </c>
      <c r="E8823" s="4" t="s">
        <v>1381</v>
      </c>
      <c r="F8823" s="4" t="s">
        <v>2303</v>
      </c>
    </row>
    <row r="8824" spans="1:6" x14ac:dyDescent="0.25">
      <c r="A8824" s="4" t="str">
        <f>CONCATENATE("3071-0000-5192","")</f>
        <v>3071-0000-5192</v>
      </c>
      <c r="B8824" s="4" t="s">
        <v>8777</v>
      </c>
      <c r="C8824" s="5">
        <v>41489</v>
      </c>
      <c r="D8824" s="5">
        <v>41549</v>
      </c>
      <c r="E8824" s="4" t="s">
        <v>1410</v>
      </c>
      <c r="F8824" s="4" t="s">
        <v>8696</v>
      </c>
    </row>
    <row r="8825" spans="1:6" x14ac:dyDescent="0.25">
      <c r="A8825" s="4" t="str">
        <f>CONCATENATE("3071-0000-7102","")</f>
        <v>3071-0000-7102</v>
      </c>
      <c r="B8825" s="4" t="s">
        <v>4748</v>
      </c>
      <c r="C8825" s="5">
        <v>41489</v>
      </c>
      <c r="D8825" s="5">
        <v>41549</v>
      </c>
      <c r="E8825" s="4" t="s">
        <v>1410</v>
      </c>
      <c r="F8825" s="4" t="s">
        <v>1410</v>
      </c>
    </row>
    <row r="8826" spans="1:6" x14ac:dyDescent="0.25">
      <c r="A8826" s="4" t="str">
        <f>CONCATENATE("3071-0000-1669","")</f>
        <v>3071-0000-1669</v>
      </c>
      <c r="B8826" s="4" t="s">
        <v>2587</v>
      </c>
      <c r="C8826" s="5">
        <v>41489</v>
      </c>
      <c r="D8826" s="5">
        <v>41549</v>
      </c>
      <c r="E8826" s="4" t="s">
        <v>1381</v>
      </c>
      <c r="F8826" s="4" t="s">
        <v>2303</v>
      </c>
    </row>
    <row r="8827" spans="1:6" x14ac:dyDescent="0.25">
      <c r="A8827" s="4" t="str">
        <f>CONCATENATE("3071-0000-0792","")</f>
        <v>3071-0000-0792</v>
      </c>
      <c r="B8827" s="4" t="s">
        <v>161</v>
      </c>
      <c r="C8827" s="5">
        <v>41489</v>
      </c>
      <c r="D8827" s="5">
        <v>41549</v>
      </c>
      <c r="E8827" s="4" t="s">
        <v>7</v>
      </c>
      <c r="F8827" s="4" t="s">
        <v>7</v>
      </c>
    </row>
    <row r="8828" spans="1:6" x14ac:dyDescent="0.25">
      <c r="A8828" s="4" t="str">
        <f>CONCATENATE("3071-0000-8736","")</f>
        <v>3071-0000-8736</v>
      </c>
      <c r="B8828" s="4" t="s">
        <v>6530</v>
      </c>
      <c r="C8828" s="5">
        <v>41489</v>
      </c>
      <c r="D8828" s="5">
        <v>41549</v>
      </c>
      <c r="E8828" s="4" t="s">
        <v>5185</v>
      </c>
      <c r="F8828" s="4" t="s">
        <v>5292</v>
      </c>
    </row>
    <row r="8829" spans="1:6" x14ac:dyDescent="0.25">
      <c r="A8829" s="4" t="str">
        <f>CONCATENATE("3071-0000-3349","")</f>
        <v>3071-0000-3349</v>
      </c>
      <c r="B8829" s="4" t="s">
        <v>1475</v>
      </c>
      <c r="C8829" s="5">
        <v>41489</v>
      </c>
      <c r="D8829" s="5">
        <v>41549</v>
      </c>
      <c r="E8829" s="4" t="s">
        <v>1410</v>
      </c>
      <c r="F8829" s="4" t="s">
        <v>1411</v>
      </c>
    </row>
    <row r="8830" spans="1:6" x14ac:dyDescent="0.25">
      <c r="A8830" s="4" t="str">
        <f>CONCATENATE("3071-0000-7416","")</f>
        <v>3071-0000-7416</v>
      </c>
      <c r="B8830" s="4" t="s">
        <v>4789</v>
      </c>
      <c r="C8830" s="5">
        <v>41489</v>
      </c>
      <c r="D8830" s="5">
        <v>41549</v>
      </c>
      <c r="E8830" s="4" t="s">
        <v>1410</v>
      </c>
      <c r="F8830" s="4" t="s">
        <v>1410</v>
      </c>
    </row>
    <row r="8831" spans="1:6" x14ac:dyDescent="0.25">
      <c r="A8831" s="4" t="str">
        <f>CONCATENATE("3071-0000-1871","")</f>
        <v>3071-0000-1871</v>
      </c>
      <c r="B8831" s="4" t="s">
        <v>2545</v>
      </c>
      <c r="C8831" s="5">
        <v>41489</v>
      </c>
      <c r="D8831" s="5">
        <v>41549</v>
      </c>
      <c r="E8831" s="4" t="s">
        <v>1381</v>
      </c>
      <c r="F8831" s="4" t="s">
        <v>2303</v>
      </c>
    </row>
    <row r="8832" spans="1:6" x14ac:dyDescent="0.25">
      <c r="A8832" s="4" t="str">
        <f>CONCATENATE("3071-0000-1493","")</f>
        <v>3071-0000-1493</v>
      </c>
      <c r="B8832" s="4" t="s">
        <v>2838</v>
      </c>
      <c r="C8832" s="5">
        <v>41489</v>
      </c>
      <c r="D8832" s="5">
        <v>41549</v>
      </c>
      <c r="E8832" s="4" t="s">
        <v>1381</v>
      </c>
      <c r="F8832" s="4" t="s">
        <v>2303</v>
      </c>
    </row>
    <row r="8833" spans="1:6" x14ac:dyDescent="0.25">
      <c r="A8833" s="4" t="str">
        <f>CONCATENATE("3071-0000-5604","")</f>
        <v>3071-0000-5604</v>
      </c>
      <c r="B8833" s="4" t="s">
        <v>7161</v>
      </c>
      <c r="C8833" s="5">
        <v>41489</v>
      </c>
      <c r="D8833" s="5">
        <v>41549</v>
      </c>
      <c r="E8833" s="4" t="s">
        <v>5185</v>
      </c>
      <c r="F8833" s="4" t="s">
        <v>5185</v>
      </c>
    </row>
    <row r="8834" spans="1:6" x14ac:dyDescent="0.25">
      <c r="A8834" s="4" t="str">
        <f>CONCATENATE("3071-0000-0085","")</f>
        <v>3071-0000-0085</v>
      </c>
      <c r="B8834" s="4" t="s">
        <v>156</v>
      </c>
      <c r="C8834" s="5">
        <v>41489</v>
      </c>
      <c r="D8834" s="5">
        <v>41549</v>
      </c>
      <c r="E8834" s="4" t="s">
        <v>7</v>
      </c>
      <c r="F8834" s="4" t="s">
        <v>7</v>
      </c>
    </row>
    <row r="8835" spans="1:6" x14ac:dyDescent="0.25">
      <c r="A8835" s="4" t="str">
        <f>CONCATENATE("3071-0000-3735","")</f>
        <v>3071-0000-3735</v>
      </c>
      <c r="B8835" s="4" t="s">
        <v>1665</v>
      </c>
      <c r="C8835" s="5">
        <v>41489</v>
      </c>
      <c r="D8835" s="5">
        <v>41549</v>
      </c>
      <c r="E8835" s="4" t="s">
        <v>1410</v>
      </c>
      <c r="F8835" s="4" t="s">
        <v>1601</v>
      </c>
    </row>
    <row r="8836" spans="1:6" x14ac:dyDescent="0.25">
      <c r="A8836" s="4" t="str">
        <f>CONCATENATE("3071-0000-3643","")</f>
        <v>3071-0000-3643</v>
      </c>
      <c r="B8836" s="4" t="s">
        <v>1653</v>
      </c>
      <c r="C8836" s="5">
        <v>41489</v>
      </c>
      <c r="D8836" s="5">
        <v>41549</v>
      </c>
      <c r="E8836" s="4" t="s">
        <v>1410</v>
      </c>
      <c r="F8836" s="4" t="s">
        <v>1601</v>
      </c>
    </row>
    <row r="8837" spans="1:6" x14ac:dyDescent="0.25">
      <c r="A8837" s="4" t="str">
        <f>CONCATENATE("3071-0000-3777","")</f>
        <v>3071-0000-3777</v>
      </c>
      <c r="B8837" s="4" t="s">
        <v>4194</v>
      </c>
      <c r="C8837" s="5">
        <v>41489</v>
      </c>
      <c r="D8837" s="5">
        <v>41549</v>
      </c>
      <c r="E8837" s="4" t="s">
        <v>7</v>
      </c>
      <c r="F8837" s="4" t="s">
        <v>1419</v>
      </c>
    </row>
    <row r="8838" spans="1:6" x14ac:dyDescent="0.25">
      <c r="A8838" s="4" t="str">
        <f>CONCATENATE("3071-0000-7392","")</f>
        <v>3071-0000-7392</v>
      </c>
      <c r="B8838" s="4" t="s">
        <v>4424</v>
      </c>
      <c r="C8838" s="5">
        <v>41489</v>
      </c>
      <c r="D8838" s="5">
        <v>41549</v>
      </c>
      <c r="E8838" s="4" t="s">
        <v>1410</v>
      </c>
      <c r="F8838" s="4" t="s">
        <v>1410</v>
      </c>
    </row>
    <row r="8839" spans="1:6" x14ac:dyDescent="0.25">
      <c r="A8839" s="4" t="str">
        <f>CONCATENATE("3071-0000-8195","")</f>
        <v>3071-0000-8195</v>
      </c>
      <c r="B8839" s="4" t="s">
        <v>5971</v>
      </c>
      <c r="C8839" s="5">
        <v>41489</v>
      </c>
      <c r="D8839" s="5">
        <v>41549</v>
      </c>
      <c r="E8839" s="4" t="s">
        <v>5185</v>
      </c>
      <c r="F8839" s="4" t="s">
        <v>5185</v>
      </c>
    </row>
    <row r="8840" spans="1:6" x14ac:dyDescent="0.25">
      <c r="A8840" s="4" t="str">
        <f>CONCATENATE("3071-0000-1687","")</f>
        <v>3071-0000-1687</v>
      </c>
      <c r="B8840" s="4" t="s">
        <v>2887</v>
      </c>
      <c r="C8840" s="5">
        <v>41489</v>
      </c>
      <c r="D8840" s="5">
        <v>41549</v>
      </c>
      <c r="E8840" s="4" t="s">
        <v>1381</v>
      </c>
      <c r="F8840" s="4" t="s">
        <v>2840</v>
      </c>
    </row>
    <row r="8841" spans="1:6" x14ac:dyDescent="0.25">
      <c r="A8841" s="4" t="str">
        <f>CONCATENATE("3071-0000-4643","")</f>
        <v>3071-0000-4643</v>
      </c>
      <c r="B8841" s="4" t="s">
        <v>8940</v>
      </c>
      <c r="C8841" s="5">
        <v>41489</v>
      </c>
      <c r="D8841" s="5">
        <v>41549</v>
      </c>
      <c r="E8841" s="4" t="s">
        <v>1410</v>
      </c>
      <c r="F8841" s="4" t="s">
        <v>8696</v>
      </c>
    </row>
    <row r="8842" spans="1:6" x14ac:dyDescent="0.25">
      <c r="A8842" s="4" t="str">
        <f>CONCATENATE("3071-0000-8764","")</f>
        <v>3071-0000-8764</v>
      </c>
      <c r="B8842" s="4" t="s">
        <v>6370</v>
      </c>
      <c r="C8842" s="5">
        <v>41489</v>
      </c>
      <c r="D8842" s="5">
        <v>41549</v>
      </c>
      <c r="E8842" s="4" t="s">
        <v>5185</v>
      </c>
      <c r="F8842" s="4" t="s">
        <v>5292</v>
      </c>
    </row>
    <row r="8843" spans="1:6" x14ac:dyDescent="0.25">
      <c r="A8843" s="4" t="str">
        <f>CONCATENATE("3071-0000-5099","")</f>
        <v>3071-0000-5099</v>
      </c>
      <c r="B8843" s="4" t="s">
        <v>9110</v>
      </c>
      <c r="C8843" s="5">
        <v>41489</v>
      </c>
      <c r="D8843" s="5">
        <v>41549</v>
      </c>
      <c r="E8843" s="4" t="s">
        <v>7069</v>
      </c>
      <c r="F8843" s="4" t="s">
        <v>9065</v>
      </c>
    </row>
    <row r="8844" spans="1:6" x14ac:dyDescent="0.25">
      <c r="A8844" s="4" t="str">
        <f>CONCATENATE("3071-0000-5126","")</f>
        <v>3071-0000-5126</v>
      </c>
      <c r="B8844" s="4" t="s">
        <v>8969</v>
      </c>
      <c r="C8844" s="5">
        <v>41489</v>
      </c>
      <c r="D8844" s="5">
        <v>41549</v>
      </c>
      <c r="E8844" s="4" t="s">
        <v>1410</v>
      </c>
      <c r="F8844" s="4" t="s">
        <v>8903</v>
      </c>
    </row>
    <row r="8845" spans="1:6" x14ac:dyDescent="0.25">
      <c r="A8845" s="4" t="str">
        <f>CONCATENATE("3071-0000-7816","")</f>
        <v>3071-0000-7816</v>
      </c>
      <c r="B8845" s="4" t="s">
        <v>5543</v>
      </c>
      <c r="C8845" s="5">
        <v>41489</v>
      </c>
      <c r="D8845" s="5">
        <v>41549</v>
      </c>
      <c r="E8845" s="4" t="s">
        <v>5185</v>
      </c>
      <c r="F8845" s="4" t="s">
        <v>5185</v>
      </c>
    </row>
    <row r="8846" spans="1:6" x14ac:dyDescent="0.25">
      <c r="A8846" s="4" t="str">
        <f>CONCATENATE("3071-0000-4277","")</f>
        <v>3071-0000-4277</v>
      </c>
      <c r="B8846" s="4" t="s">
        <v>8889</v>
      </c>
      <c r="C8846" s="5">
        <v>41489</v>
      </c>
      <c r="D8846" s="5">
        <v>41549</v>
      </c>
      <c r="E8846" s="4" t="s">
        <v>1410</v>
      </c>
      <c r="F8846" s="4" t="s">
        <v>8696</v>
      </c>
    </row>
    <row r="8847" spans="1:6" x14ac:dyDescent="0.25">
      <c r="A8847" s="4" t="str">
        <f>CONCATENATE("3071-0000-1262","")</f>
        <v>3071-0000-1262</v>
      </c>
      <c r="B8847" s="4" t="s">
        <v>2339</v>
      </c>
      <c r="C8847" s="5">
        <v>41489</v>
      </c>
      <c r="D8847" s="5">
        <v>41549</v>
      </c>
      <c r="E8847" s="4" t="s">
        <v>1381</v>
      </c>
      <c r="F8847" s="4" t="s">
        <v>2303</v>
      </c>
    </row>
    <row r="8848" spans="1:6" x14ac:dyDescent="0.25">
      <c r="A8848" s="4" t="str">
        <f>CONCATENATE("3071-0000-1792","")</f>
        <v>3071-0000-1792</v>
      </c>
      <c r="B8848" s="4" t="s">
        <v>2583</v>
      </c>
      <c r="C8848" s="5">
        <v>41489</v>
      </c>
      <c r="D8848" s="5">
        <v>41549</v>
      </c>
      <c r="E8848" s="4" t="s">
        <v>1381</v>
      </c>
      <c r="F8848" s="4" t="s">
        <v>2303</v>
      </c>
    </row>
    <row r="8849" spans="1:6" x14ac:dyDescent="0.25">
      <c r="A8849" s="4" t="str">
        <f>CONCATENATE("3071-0000-2897","")</f>
        <v>3071-0000-2897</v>
      </c>
      <c r="B8849" s="4" t="s">
        <v>1367</v>
      </c>
      <c r="C8849" s="5">
        <v>41489</v>
      </c>
      <c r="D8849" s="5">
        <v>41549</v>
      </c>
      <c r="E8849" s="4" t="s">
        <v>7</v>
      </c>
      <c r="F8849" s="4" t="s">
        <v>808</v>
      </c>
    </row>
    <row r="8850" spans="1:6" x14ac:dyDescent="0.25">
      <c r="A8850" s="4" t="str">
        <f>CONCATENATE("3071-0000-2327","")</f>
        <v>3071-0000-2327</v>
      </c>
      <c r="B8850" s="4" t="s">
        <v>3501</v>
      </c>
      <c r="C8850" s="5">
        <v>41489</v>
      </c>
      <c r="D8850" s="5">
        <v>41549</v>
      </c>
      <c r="E8850" s="4" t="s">
        <v>2944</v>
      </c>
      <c r="F8850" s="4" t="s">
        <v>2945</v>
      </c>
    </row>
    <row r="8851" spans="1:6" x14ac:dyDescent="0.25">
      <c r="A8851" s="4" t="str">
        <f>CONCATENATE("3071-0000-1987","")</f>
        <v>3071-0000-1987</v>
      </c>
      <c r="B8851" s="4" t="s">
        <v>3129</v>
      </c>
      <c r="C8851" s="5">
        <v>41489</v>
      </c>
      <c r="D8851" s="5">
        <v>41549</v>
      </c>
      <c r="E8851" s="4" t="s">
        <v>2944</v>
      </c>
      <c r="F8851" s="4" t="s">
        <v>2945</v>
      </c>
    </row>
    <row r="8852" spans="1:6" x14ac:dyDescent="0.25">
      <c r="A8852" s="4" t="str">
        <f>CONCATENATE("3071-0000-2540","")</f>
        <v>3071-0000-2540</v>
      </c>
      <c r="B8852" s="4" t="s">
        <v>3146</v>
      </c>
      <c r="C8852" s="5">
        <v>41489</v>
      </c>
      <c r="D8852" s="5">
        <v>41549</v>
      </c>
      <c r="E8852" s="4" t="s">
        <v>2944</v>
      </c>
      <c r="F8852" s="4" t="s">
        <v>3115</v>
      </c>
    </row>
    <row r="8853" spans="1:6" x14ac:dyDescent="0.25">
      <c r="A8853" s="4" t="str">
        <f>CONCATENATE("3071-0000-4599","")</f>
        <v>3071-0000-4599</v>
      </c>
      <c r="B8853" s="4" t="s">
        <v>9118</v>
      </c>
      <c r="C8853" s="5">
        <v>41489</v>
      </c>
      <c r="D8853" s="5">
        <v>41549</v>
      </c>
      <c r="E8853" s="4" t="s">
        <v>1410</v>
      </c>
      <c r="F8853" s="4" t="s">
        <v>8696</v>
      </c>
    </row>
    <row r="8854" spans="1:6" x14ac:dyDescent="0.25">
      <c r="A8854" s="4" t="str">
        <f>CONCATENATE("3071-0000-6533","")</f>
        <v>3071-0000-6533</v>
      </c>
      <c r="B8854" s="4" t="s">
        <v>7960</v>
      </c>
      <c r="C8854" s="5">
        <v>41489</v>
      </c>
      <c r="D8854" s="5">
        <v>41549</v>
      </c>
      <c r="E8854" s="4" t="s">
        <v>5185</v>
      </c>
      <c r="F8854" s="4" t="s">
        <v>5185</v>
      </c>
    </row>
    <row r="8855" spans="1:6" x14ac:dyDescent="0.25">
      <c r="A8855" s="4" t="str">
        <f>CONCATENATE("3071-0000-6520","")</f>
        <v>3071-0000-6520</v>
      </c>
      <c r="B8855" s="4" t="s">
        <v>7944</v>
      </c>
      <c r="C8855" s="5">
        <v>41489</v>
      </c>
      <c r="D8855" s="5">
        <v>41549</v>
      </c>
      <c r="E8855" s="4" t="s">
        <v>5185</v>
      </c>
      <c r="F8855" s="4" t="s">
        <v>5185</v>
      </c>
    </row>
    <row r="8856" spans="1:6" x14ac:dyDescent="0.25">
      <c r="A8856" s="4" t="str">
        <f>CONCATENATE("3071-0000-6845","")</f>
        <v>3071-0000-6845</v>
      </c>
      <c r="B8856" s="4" t="s">
        <v>7958</v>
      </c>
      <c r="C8856" s="5">
        <v>41489</v>
      </c>
      <c r="D8856" s="5">
        <v>41549</v>
      </c>
      <c r="E8856" s="4" t="s">
        <v>1410</v>
      </c>
      <c r="F8856" s="4" t="s">
        <v>4655</v>
      </c>
    </row>
    <row r="8857" spans="1:6" x14ac:dyDescent="0.25">
      <c r="A8857" s="4" t="str">
        <f>CONCATENATE("3071-0000-8797","")</f>
        <v>3071-0000-8797</v>
      </c>
      <c r="B8857" s="4" t="s">
        <v>6555</v>
      </c>
      <c r="C8857" s="5">
        <v>41489</v>
      </c>
      <c r="D8857" s="5">
        <v>41549</v>
      </c>
      <c r="E8857" s="4" t="s">
        <v>5185</v>
      </c>
      <c r="F8857" s="4" t="s">
        <v>5292</v>
      </c>
    </row>
    <row r="8858" spans="1:6" x14ac:dyDescent="0.25">
      <c r="A8858" s="4" t="str">
        <f>CONCATENATE("3071-0000-1726","")</f>
        <v>3071-0000-1726</v>
      </c>
      <c r="B8858" s="4" t="s">
        <v>2829</v>
      </c>
      <c r="C8858" s="5">
        <v>41489</v>
      </c>
      <c r="D8858" s="5">
        <v>41549</v>
      </c>
      <c r="E8858" s="4" t="s">
        <v>1381</v>
      </c>
      <c r="F8858" s="4" t="s">
        <v>2826</v>
      </c>
    </row>
    <row r="8859" spans="1:6" x14ac:dyDescent="0.25">
      <c r="A8859" s="4" t="str">
        <f>CONCATENATE("3071-0000-9598","")</f>
        <v>3071-0000-9598</v>
      </c>
      <c r="B8859" s="4" t="s">
        <v>8672</v>
      </c>
      <c r="C8859" s="5">
        <v>41489</v>
      </c>
      <c r="D8859" s="5">
        <v>41549</v>
      </c>
      <c r="E8859" s="4" t="s">
        <v>1410</v>
      </c>
      <c r="F8859" s="4" t="s">
        <v>4459</v>
      </c>
    </row>
    <row r="8860" spans="1:6" x14ac:dyDescent="0.25">
      <c r="A8860" s="4" t="str">
        <f>CONCATENATE("3071-0000-9599","")</f>
        <v>3071-0000-9599</v>
      </c>
      <c r="B8860" s="4" t="s">
        <v>8668</v>
      </c>
      <c r="C8860" s="5">
        <v>41489</v>
      </c>
      <c r="D8860" s="5">
        <v>41549</v>
      </c>
      <c r="E8860" s="4" t="s">
        <v>1410</v>
      </c>
      <c r="F8860" s="4" t="s">
        <v>4459</v>
      </c>
    </row>
    <row r="8861" spans="1:6" x14ac:dyDescent="0.25">
      <c r="A8861" s="4" t="str">
        <f>CONCATENATE("3071-0000-9602","")</f>
        <v>3071-0000-9602</v>
      </c>
      <c r="B8861" s="4" t="s">
        <v>8676</v>
      </c>
      <c r="C8861" s="5">
        <v>41489</v>
      </c>
      <c r="D8861" s="5">
        <v>41549</v>
      </c>
      <c r="E8861" s="4" t="s">
        <v>1410</v>
      </c>
      <c r="F8861" s="4" t="s">
        <v>4459</v>
      </c>
    </row>
    <row r="8862" spans="1:6" x14ac:dyDescent="0.25">
      <c r="A8862" s="4" t="str">
        <f>CONCATENATE("3071-0000-3998","")</f>
        <v>3071-0000-3998</v>
      </c>
      <c r="B8862" s="4" t="s">
        <v>4062</v>
      </c>
      <c r="C8862" s="5">
        <v>41489</v>
      </c>
      <c r="D8862" s="5">
        <v>41549</v>
      </c>
      <c r="E8862" s="4" t="s">
        <v>1381</v>
      </c>
      <c r="F8862" s="4" t="s">
        <v>4057</v>
      </c>
    </row>
    <row r="8863" spans="1:6" x14ac:dyDescent="0.25">
      <c r="A8863" s="4" t="str">
        <f>CONCATENATE("3071-0000-3928","")</f>
        <v>3071-0000-3928</v>
      </c>
      <c r="B8863" s="4" t="s">
        <v>4076</v>
      </c>
      <c r="C8863" s="5">
        <v>41489</v>
      </c>
      <c r="D8863" s="5">
        <v>41549</v>
      </c>
      <c r="E8863" s="4" t="s">
        <v>1381</v>
      </c>
      <c r="F8863" s="4" t="s">
        <v>4057</v>
      </c>
    </row>
    <row r="8864" spans="1:6" x14ac:dyDescent="0.25">
      <c r="A8864" s="4" t="str">
        <f>CONCATENATE("3071-0000-3987","")</f>
        <v>3071-0000-3987</v>
      </c>
      <c r="B8864" s="4" t="s">
        <v>4060</v>
      </c>
      <c r="C8864" s="5">
        <v>41489</v>
      </c>
      <c r="D8864" s="5">
        <v>41549</v>
      </c>
      <c r="E8864" s="4" t="s">
        <v>1381</v>
      </c>
      <c r="F8864" s="4" t="s">
        <v>4057</v>
      </c>
    </row>
    <row r="8865" spans="1:6" x14ac:dyDescent="0.25">
      <c r="A8865" s="4" t="str">
        <f>CONCATENATE("3071-0000-3874","")</f>
        <v>3071-0000-3874</v>
      </c>
      <c r="B8865" s="4" t="s">
        <v>4023</v>
      </c>
      <c r="C8865" s="5">
        <v>41489</v>
      </c>
      <c r="D8865" s="5">
        <v>41549</v>
      </c>
      <c r="E8865" s="4" t="s">
        <v>1381</v>
      </c>
      <c r="F8865" s="4" t="s">
        <v>3994</v>
      </c>
    </row>
    <row r="8866" spans="1:6" x14ac:dyDescent="0.25">
      <c r="A8866" s="4" t="str">
        <f>CONCATENATE("3071-0000-3926","")</f>
        <v>3071-0000-3926</v>
      </c>
      <c r="B8866" s="4" t="s">
        <v>4074</v>
      </c>
      <c r="C8866" s="5">
        <v>41489</v>
      </c>
      <c r="D8866" s="5">
        <v>41549</v>
      </c>
      <c r="E8866" s="4" t="s">
        <v>1381</v>
      </c>
      <c r="F8866" s="4" t="s">
        <v>4057</v>
      </c>
    </row>
    <row r="8867" spans="1:6" x14ac:dyDescent="0.25">
      <c r="A8867" s="4" t="str">
        <f>CONCATENATE("3071-0000-4159","")</f>
        <v>3071-0000-4159</v>
      </c>
      <c r="B8867" s="4" t="s">
        <v>4112</v>
      </c>
      <c r="C8867" s="5">
        <v>41489</v>
      </c>
      <c r="D8867" s="5">
        <v>41549</v>
      </c>
      <c r="E8867" s="4" t="s">
        <v>7</v>
      </c>
      <c r="F8867" s="4" t="s">
        <v>3902</v>
      </c>
    </row>
    <row r="8868" spans="1:6" x14ac:dyDescent="0.25">
      <c r="A8868" s="4" t="str">
        <f>CONCATENATE("3071-0000-3975","")</f>
        <v>3071-0000-3975</v>
      </c>
      <c r="B8868" s="4" t="s">
        <v>4209</v>
      </c>
      <c r="C8868" s="5">
        <v>41489</v>
      </c>
      <c r="D8868" s="5">
        <v>41549</v>
      </c>
      <c r="E8868" s="4" t="s">
        <v>2944</v>
      </c>
      <c r="F8868" s="4" t="s">
        <v>3513</v>
      </c>
    </row>
    <row r="8869" spans="1:6" x14ac:dyDescent="0.25">
      <c r="A8869" s="4" t="str">
        <f>CONCATENATE("3071-0000-5528","")</f>
        <v>3071-0000-5528</v>
      </c>
      <c r="B8869" s="4" t="s">
        <v>7343</v>
      </c>
      <c r="C8869" s="5">
        <v>41489</v>
      </c>
      <c r="D8869" s="5">
        <v>41549</v>
      </c>
      <c r="E8869" s="4" t="s">
        <v>5185</v>
      </c>
      <c r="F8869" s="4" t="s">
        <v>5185</v>
      </c>
    </row>
    <row r="8870" spans="1:6" x14ac:dyDescent="0.25">
      <c r="A8870" s="4" t="str">
        <f>CONCATENATE("3071-0000-0678","")</f>
        <v>3071-0000-0678</v>
      </c>
      <c r="B8870" s="4" t="s">
        <v>518</v>
      </c>
      <c r="C8870" s="5">
        <v>41489</v>
      </c>
      <c r="D8870" s="5">
        <v>41549</v>
      </c>
      <c r="E8870" s="4" t="s">
        <v>7</v>
      </c>
      <c r="F8870" s="4" t="s">
        <v>7</v>
      </c>
    </row>
    <row r="8871" spans="1:6" x14ac:dyDescent="0.25">
      <c r="A8871" s="4" t="str">
        <f>CONCATENATE("3071-0000-1307","")</f>
        <v>3071-0000-1307</v>
      </c>
      <c r="B8871" s="4" t="s">
        <v>2422</v>
      </c>
      <c r="C8871" s="5">
        <v>41489</v>
      </c>
      <c r="D8871" s="5">
        <v>41549</v>
      </c>
      <c r="E8871" s="4" t="s">
        <v>1381</v>
      </c>
      <c r="F8871" s="4" t="s">
        <v>2303</v>
      </c>
    </row>
    <row r="8872" spans="1:6" x14ac:dyDescent="0.25">
      <c r="A8872" s="4" t="str">
        <f>CONCATENATE("3071-0000-1816","")</f>
        <v>3071-0000-1816</v>
      </c>
      <c r="B8872" s="4" t="s">
        <v>2707</v>
      </c>
      <c r="C8872" s="5">
        <v>41489</v>
      </c>
      <c r="D8872" s="5">
        <v>41549</v>
      </c>
      <c r="E8872" s="4" t="s">
        <v>1381</v>
      </c>
      <c r="F8872" s="4" t="s">
        <v>2662</v>
      </c>
    </row>
    <row r="8873" spans="1:6" x14ac:dyDescent="0.25">
      <c r="A8873" s="4" t="str">
        <f>CONCATENATE("3071-0000-1679","")</f>
        <v>3071-0000-1679</v>
      </c>
      <c r="B8873" s="4" t="s">
        <v>2602</v>
      </c>
      <c r="C8873" s="5">
        <v>41489</v>
      </c>
      <c r="D8873" s="5">
        <v>41549</v>
      </c>
      <c r="E8873" s="4" t="s">
        <v>1381</v>
      </c>
      <c r="F8873" s="4" t="s">
        <v>2303</v>
      </c>
    </row>
    <row r="8874" spans="1:6" x14ac:dyDescent="0.25">
      <c r="A8874" s="4" t="str">
        <f>CONCATENATE("3071-0000-3543","")</f>
        <v>3071-0000-3543</v>
      </c>
      <c r="B8874" s="4" t="s">
        <v>1546</v>
      </c>
      <c r="C8874" s="5">
        <v>41489</v>
      </c>
      <c r="D8874" s="5">
        <v>41549</v>
      </c>
      <c r="E8874" s="4" t="s">
        <v>1410</v>
      </c>
      <c r="F8874" s="4" t="s">
        <v>1411</v>
      </c>
    </row>
    <row r="8875" spans="1:6" x14ac:dyDescent="0.25">
      <c r="A8875" s="4" t="str">
        <f>CONCATENATE("3071-0000-3910","")</f>
        <v>3071-0000-3910</v>
      </c>
      <c r="B8875" s="4" t="s">
        <v>4133</v>
      </c>
      <c r="C8875" s="5">
        <v>41489</v>
      </c>
      <c r="D8875" s="5">
        <v>41549</v>
      </c>
      <c r="E8875" s="4" t="s">
        <v>2944</v>
      </c>
      <c r="F8875" s="4" t="s">
        <v>3513</v>
      </c>
    </row>
    <row r="8876" spans="1:6" x14ac:dyDescent="0.25">
      <c r="A8876" s="4" t="str">
        <f>CONCATENATE("3071-0000-0026","")</f>
        <v>3071-0000-0026</v>
      </c>
      <c r="B8876" s="4" t="s">
        <v>44</v>
      </c>
      <c r="C8876" s="5">
        <v>41489</v>
      </c>
      <c r="D8876" s="5">
        <v>41549</v>
      </c>
      <c r="E8876" s="4" t="s">
        <v>7</v>
      </c>
      <c r="F8876" s="4" t="s">
        <v>7</v>
      </c>
    </row>
    <row r="8877" spans="1:6" x14ac:dyDescent="0.25">
      <c r="A8877" s="4" t="str">
        <f>CONCATENATE("3071-0000-2085","")</f>
        <v>3071-0000-2085</v>
      </c>
      <c r="B8877" s="4" t="s">
        <v>3471</v>
      </c>
      <c r="C8877" s="5">
        <v>41489</v>
      </c>
      <c r="D8877" s="5">
        <v>41549</v>
      </c>
      <c r="E8877" s="4" t="s">
        <v>2944</v>
      </c>
      <c r="F8877" s="4" t="s">
        <v>2945</v>
      </c>
    </row>
    <row r="8878" spans="1:6" x14ac:dyDescent="0.25">
      <c r="A8878" s="4" t="str">
        <f>CONCATENATE("3071-0000-2090","")</f>
        <v>3071-0000-2090</v>
      </c>
      <c r="B8878" s="4" t="s">
        <v>3505</v>
      </c>
      <c r="C8878" s="5">
        <v>41489</v>
      </c>
      <c r="D8878" s="5">
        <v>41549</v>
      </c>
      <c r="E8878" s="4" t="s">
        <v>2944</v>
      </c>
      <c r="F8878" s="4" t="s">
        <v>2945</v>
      </c>
    </row>
    <row r="8879" spans="1:6" x14ac:dyDescent="0.25">
      <c r="A8879" s="4" t="str">
        <f>CONCATENATE("3071-0000-0553","")</f>
        <v>3071-0000-0553</v>
      </c>
      <c r="B8879" s="4" t="s">
        <v>358</v>
      </c>
      <c r="C8879" s="5">
        <v>41489</v>
      </c>
      <c r="D8879" s="5">
        <v>41549</v>
      </c>
      <c r="E8879" s="4" t="s">
        <v>7</v>
      </c>
      <c r="F8879" s="4" t="s">
        <v>273</v>
      </c>
    </row>
    <row r="8880" spans="1:6" x14ac:dyDescent="0.25">
      <c r="A8880" s="4" t="str">
        <f>CONCATENATE("3071-0000-2618","")</f>
        <v>3071-0000-2618</v>
      </c>
      <c r="B8880" s="4" t="s">
        <v>3485</v>
      </c>
      <c r="C8880" s="5">
        <v>41489</v>
      </c>
      <c r="D8880" s="5">
        <v>41549</v>
      </c>
      <c r="E8880" s="4" t="s">
        <v>2944</v>
      </c>
      <c r="F8880" s="4" t="s">
        <v>3434</v>
      </c>
    </row>
    <row r="8881" spans="1:6" x14ac:dyDescent="0.25">
      <c r="A8881" s="4" t="str">
        <f>CONCATENATE("3071-0000-2094","")</f>
        <v>3071-0000-2094</v>
      </c>
      <c r="B8881" s="4" t="s">
        <v>3480</v>
      </c>
      <c r="C8881" s="5">
        <v>41489</v>
      </c>
      <c r="D8881" s="5">
        <v>41549</v>
      </c>
      <c r="E8881" s="4" t="s">
        <v>2944</v>
      </c>
      <c r="F8881" s="4" t="s">
        <v>2945</v>
      </c>
    </row>
    <row r="8882" spans="1:6" x14ac:dyDescent="0.25">
      <c r="A8882" s="4" t="str">
        <f>CONCATENATE("3071-0000-2103","")</f>
        <v>3071-0000-2103</v>
      </c>
      <c r="B8882" s="4" t="s">
        <v>3490</v>
      </c>
      <c r="C8882" s="5">
        <v>41489</v>
      </c>
      <c r="D8882" s="5">
        <v>41549</v>
      </c>
      <c r="E8882" s="4" t="s">
        <v>2944</v>
      </c>
      <c r="F8882" s="4" t="s">
        <v>2945</v>
      </c>
    </row>
    <row r="8883" spans="1:6" x14ac:dyDescent="0.25">
      <c r="A8883" s="4" t="str">
        <f>CONCATENATE("3071-0000-0815","")</f>
        <v>3071-0000-0815</v>
      </c>
      <c r="B8883" s="4" t="s">
        <v>1875</v>
      </c>
      <c r="C8883" s="5">
        <v>41489</v>
      </c>
      <c r="D8883" s="5">
        <v>41549</v>
      </c>
      <c r="E8883" s="4" t="s">
        <v>1857</v>
      </c>
      <c r="F8883" s="4" t="s">
        <v>1857</v>
      </c>
    </row>
    <row r="8884" spans="1:6" x14ac:dyDescent="0.25">
      <c r="A8884" s="4" t="str">
        <f>CONCATENATE("3071-0000-2089","")</f>
        <v>3071-0000-2089</v>
      </c>
      <c r="B8884" s="4" t="s">
        <v>3476</v>
      </c>
      <c r="C8884" s="5">
        <v>41489</v>
      </c>
      <c r="D8884" s="5">
        <v>41549</v>
      </c>
      <c r="E8884" s="4" t="s">
        <v>2944</v>
      </c>
      <c r="F8884" s="4" t="s">
        <v>2945</v>
      </c>
    </row>
    <row r="8885" spans="1:6" x14ac:dyDescent="0.25">
      <c r="A8885" s="4" t="str">
        <f>CONCATENATE("3071-0000-3634","")</f>
        <v>3071-0000-3634</v>
      </c>
      <c r="B8885" s="4" t="s">
        <v>1635</v>
      </c>
      <c r="C8885" s="5">
        <v>41489</v>
      </c>
      <c r="D8885" s="5">
        <v>41549</v>
      </c>
      <c r="E8885" s="4" t="s">
        <v>1410</v>
      </c>
      <c r="F8885" s="4" t="s">
        <v>1410</v>
      </c>
    </row>
    <row r="8886" spans="1:6" x14ac:dyDescent="0.25">
      <c r="A8886" s="4" t="str">
        <f>CONCATENATE("3071-0000-6475","")</f>
        <v>3071-0000-6475</v>
      </c>
      <c r="B8886" s="4" t="s">
        <v>8113</v>
      </c>
      <c r="C8886" s="5">
        <v>41489</v>
      </c>
      <c r="D8886" s="5">
        <v>41549</v>
      </c>
      <c r="E8886" s="4" t="s">
        <v>5185</v>
      </c>
      <c r="F8886" s="4" t="s">
        <v>5185</v>
      </c>
    </row>
    <row r="8887" spans="1:6" x14ac:dyDescent="0.25">
      <c r="A8887" s="4" t="str">
        <f>CONCATENATE("3071-0000-7022","")</f>
        <v>3071-0000-7022</v>
      </c>
      <c r="B8887" s="4" t="s">
        <v>4328</v>
      </c>
      <c r="C8887" s="5">
        <v>41489</v>
      </c>
      <c r="D8887" s="5">
        <v>41549</v>
      </c>
      <c r="E8887" s="4" t="s">
        <v>1410</v>
      </c>
      <c r="F8887" s="4" t="s">
        <v>1410</v>
      </c>
    </row>
    <row r="8888" spans="1:6" x14ac:dyDescent="0.25">
      <c r="A8888" s="4" t="str">
        <f>CONCATENATE("3071-0000-6424","")</f>
        <v>3071-0000-6424</v>
      </c>
      <c r="B8888" s="4" t="s">
        <v>8100</v>
      </c>
      <c r="C8888" s="5">
        <v>41489</v>
      </c>
      <c r="D8888" s="5">
        <v>41549</v>
      </c>
      <c r="E8888" s="4" t="s">
        <v>5185</v>
      </c>
      <c r="F8888" s="4" t="s">
        <v>5185</v>
      </c>
    </row>
    <row r="8889" spans="1:6" x14ac:dyDescent="0.25">
      <c r="A8889" s="4" t="str">
        <f>CONCATENATE("3071-0000-6466","")</f>
        <v>3071-0000-6466</v>
      </c>
      <c r="B8889" s="4" t="s">
        <v>8114</v>
      </c>
      <c r="C8889" s="5">
        <v>41489</v>
      </c>
      <c r="D8889" s="5">
        <v>41549</v>
      </c>
      <c r="E8889" s="4" t="s">
        <v>5185</v>
      </c>
      <c r="F8889" s="4" t="s">
        <v>5185</v>
      </c>
    </row>
    <row r="8890" spans="1:6" x14ac:dyDescent="0.25">
      <c r="A8890" s="4" t="str">
        <f>CONCATENATE("3071-0000-3744","")</f>
        <v>3071-0000-3744</v>
      </c>
      <c r="B8890" s="4" t="s">
        <v>1664</v>
      </c>
      <c r="C8890" s="5">
        <v>41489</v>
      </c>
      <c r="D8890" s="5">
        <v>41549</v>
      </c>
      <c r="E8890" s="4" t="s">
        <v>1410</v>
      </c>
      <c r="F8890" s="4" t="s">
        <v>1601</v>
      </c>
    </row>
    <row r="8891" spans="1:6" x14ac:dyDescent="0.25">
      <c r="A8891" s="4" t="str">
        <f>CONCATENATE("3071-0000-3351","")</f>
        <v>3071-0000-3351</v>
      </c>
      <c r="B8891" s="4" t="s">
        <v>1478</v>
      </c>
      <c r="C8891" s="5">
        <v>41489</v>
      </c>
      <c r="D8891" s="5">
        <v>41549</v>
      </c>
      <c r="E8891" s="4" t="s">
        <v>1410</v>
      </c>
      <c r="F8891" s="4" t="s">
        <v>1411</v>
      </c>
    </row>
    <row r="8892" spans="1:6" x14ac:dyDescent="0.25">
      <c r="A8892" s="4" t="str">
        <f>CONCATENATE("3071-0000-0359","")</f>
        <v>3071-0000-0359</v>
      </c>
      <c r="B8892" s="4" t="s">
        <v>101</v>
      </c>
      <c r="C8892" s="5">
        <v>41489</v>
      </c>
      <c r="D8892" s="5">
        <v>41549</v>
      </c>
      <c r="E8892" s="4" t="s">
        <v>7</v>
      </c>
      <c r="F8892" s="4" t="s">
        <v>7</v>
      </c>
    </row>
    <row r="8893" spans="1:6" x14ac:dyDescent="0.25">
      <c r="A8893" s="4" t="str">
        <f>CONCATENATE("3071-0000-1422","")</f>
        <v>3071-0000-1422</v>
      </c>
      <c r="B8893" s="4" t="s">
        <v>2649</v>
      </c>
      <c r="C8893" s="5">
        <v>41489</v>
      </c>
      <c r="D8893" s="5">
        <v>41549</v>
      </c>
      <c r="E8893" s="4" t="s">
        <v>1381</v>
      </c>
      <c r="F8893" s="4" t="s">
        <v>2303</v>
      </c>
    </row>
    <row r="8894" spans="1:6" x14ac:dyDescent="0.25">
      <c r="A8894" s="4" t="str">
        <f>CONCATENATE("3071-0000-1641","")</f>
        <v>3071-0000-1641</v>
      </c>
      <c r="B8894" s="4" t="s">
        <v>2718</v>
      </c>
      <c r="C8894" s="5">
        <v>41489</v>
      </c>
      <c r="D8894" s="5">
        <v>41549</v>
      </c>
      <c r="E8894" s="4" t="s">
        <v>1381</v>
      </c>
      <c r="F8894" s="4" t="s">
        <v>2303</v>
      </c>
    </row>
    <row r="8895" spans="1:6" x14ac:dyDescent="0.25">
      <c r="A8895" s="4" t="str">
        <f>CONCATENATE("3071-0000-2882","")</f>
        <v>3071-0000-2882</v>
      </c>
      <c r="B8895" s="4" t="s">
        <v>1089</v>
      </c>
      <c r="C8895" s="5">
        <v>41489</v>
      </c>
      <c r="D8895" s="5">
        <v>41549</v>
      </c>
      <c r="E8895" s="4" t="s">
        <v>7</v>
      </c>
      <c r="F8895" s="4" t="s">
        <v>808</v>
      </c>
    </row>
    <row r="8896" spans="1:6" x14ac:dyDescent="0.25">
      <c r="A8896" s="4" t="str">
        <f>CONCATENATE("3071-0000-3407","")</f>
        <v>3071-0000-3407</v>
      </c>
      <c r="B8896" s="4" t="s">
        <v>1569</v>
      </c>
      <c r="C8896" s="5">
        <v>41489</v>
      </c>
      <c r="D8896" s="5">
        <v>41549</v>
      </c>
      <c r="E8896" s="4" t="s">
        <v>1410</v>
      </c>
      <c r="F8896" s="4" t="s">
        <v>1411</v>
      </c>
    </row>
    <row r="8897" spans="1:6" x14ac:dyDescent="0.25">
      <c r="A8897" s="4" t="str">
        <f>CONCATENATE("3071-0000-3561","")</f>
        <v>3071-0000-3561</v>
      </c>
      <c r="B8897" s="4" t="s">
        <v>1593</v>
      </c>
      <c r="C8897" s="5">
        <v>41489</v>
      </c>
      <c r="D8897" s="5">
        <v>41549</v>
      </c>
      <c r="E8897" s="4" t="s">
        <v>1410</v>
      </c>
      <c r="F8897" s="4" t="s">
        <v>1411</v>
      </c>
    </row>
    <row r="8898" spans="1:6" x14ac:dyDescent="0.25">
      <c r="A8898" s="4" t="str">
        <f>CONCATENATE("3071-0000-1946","")</f>
        <v>3071-0000-1946</v>
      </c>
      <c r="B8898" s="4" t="s">
        <v>3048</v>
      </c>
      <c r="C8898" s="5">
        <v>41489</v>
      </c>
      <c r="D8898" s="5">
        <v>41549</v>
      </c>
      <c r="E8898" s="4" t="s">
        <v>2944</v>
      </c>
      <c r="F8898" s="4" t="s">
        <v>2945</v>
      </c>
    </row>
    <row r="8899" spans="1:6" x14ac:dyDescent="0.25">
      <c r="A8899" s="4" t="str">
        <f>CONCATENATE("3071-0000-2000","")</f>
        <v>3071-0000-2000</v>
      </c>
      <c r="B8899" s="4" t="s">
        <v>3148</v>
      </c>
      <c r="C8899" s="5">
        <v>41489</v>
      </c>
      <c r="D8899" s="5">
        <v>41549</v>
      </c>
      <c r="E8899" s="4" t="s">
        <v>2944</v>
      </c>
      <c r="F8899" s="4" t="s">
        <v>2945</v>
      </c>
    </row>
    <row r="8900" spans="1:6" x14ac:dyDescent="0.25">
      <c r="A8900" s="4" t="str">
        <f>CONCATENATE("3071-0000-1992","")</f>
        <v>3071-0000-1992</v>
      </c>
      <c r="B8900" s="4" t="s">
        <v>3139</v>
      </c>
      <c r="C8900" s="5">
        <v>41489</v>
      </c>
      <c r="D8900" s="5">
        <v>41549</v>
      </c>
      <c r="E8900" s="4" t="s">
        <v>2944</v>
      </c>
      <c r="F8900" s="4" t="s">
        <v>2945</v>
      </c>
    </row>
    <row r="8901" spans="1:6" x14ac:dyDescent="0.25">
      <c r="A8901" s="4" t="str">
        <f>CONCATENATE("3071-0000-7433","")</f>
        <v>3071-0000-7433</v>
      </c>
      <c r="B8901" s="4" t="s">
        <v>4377</v>
      </c>
      <c r="C8901" s="5">
        <v>41489</v>
      </c>
      <c r="D8901" s="5">
        <v>41549</v>
      </c>
      <c r="E8901" s="4" t="s">
        <v>1410</v>
      </c>
      <c r="F8901" s="4" t="s">
        <v>1410</v>
      </c>
    </row>
    <row r="8902" spans="1:6" x14ac:dyDescent="0.25">
      <c r="A8902" s="4" t="str">
        <f>CONCATENATE("3071-0000-0627","")</f>
        <v>3071-0000-0627</v>
      </c>
      <c r="B8902" s="4" t="s">
        <v>781</v>
      </c>
      <c r="C8902" s="5">
        <v>41489</v>
      </c>
      <c r="D8902" s="5">
        <v>41549</v>
      </c>
      <c r="E8902" s="4" t="s">
        <v>7</v>
      </c>
      <c r="F8902" s="4" t="s">
        <v>7</v>
      </c>
    </row>
    <row r="8903" spans="1:6" x14ac:dyDescent="0.25">
      <c r="A8903" s="4" t="str">
        <f>CONCATENATE("3071-0000-0731","")</f>
        <v>3071-0000-0731</v>
      </c>
      <c r="B8903" s="4" t="s">
        <v>262</v>
      </c>
      <c r="C8903" s="5">
        <v>41489</v>
      </c>
      <c r="D8903" s="5">
        <v>41549</v>
      </c>
      <c r="E8903" s="4" t="s">
        <v>7</v>
      </c>
      <c r="F8903" s="4" t="s">
        <v>7</v>
      </c>
    </row>
    <row r="8904" spans="1:6" x14ac:dyDescent="0.25">
      <c r="A8904" s="4" t="str">
        <f>CONCATENATE("3071-0000-2639","")</f>
        <v>3071-0000-2639</v>
      </c>
      <c r="B8904" s="4" t="s">
        <v>3085</v>
      </c>
      <c r="C8904" s="5">
        <v>41489</v>
      </c>
      <c r="D8904" s="5">
        <v>41549</v>
      </c>
      <c r="E8904" s="4" t="s">
        <v>2944</v>
      </c>
      <c r="F8904" s="4" t="s">
        <v>2945</v>
      </c>
    </row>
    <row r="8905" spans="1:6" x14ac:dyDescent="0.25">
      <c r="A8905" s="4" t="str">
        <f>CONCATENATE("3071-0000-8102","")</f>
        <v>3071-0000-8102</v>
      </c>
      <c r="B8905" s="4" t="s">
        <v>6018</v>
      </c>
      <c r="C8905" s="5">
        <v>41489</v>
      </c>
      <c r="D8905" s="5">
        <v>41549</v>
      </c>
      <c r="E8905" s="4" t="s">
        <v>5185</v>
      </c>
      <c r="F8905" s="4" t="s">
        <v>5185</v>
      </c>
    </row>
    <row r="8906" spans="1:6" x14ac:dyDescent="0.25">
      <c r="A8906" s="4" t="str">
        <f>CONCATENATE("3071-0000-0251","")</f>
        <v>3071-0000-0251</v>
      </c>
      <c r="B8906" s="4" t="s">
        <v>554</v>
      </c>
      <c r="C8906" s="5">
        <v>41489</v>
      </c>
      <c r="D8906" s="5">
        <v>41549</v>
      </c>
      <c r="E8906" s="4" t="s">
        <v>7</v>
      </c>
      <c r="F8906" s="4" t="s">
        <v>7</v>
      </c>
    </row>
    <row r="8907" spans="1:6" x14ac:dyDescent="0.25">
      <c r="A8907" s="4" t="str">
        <f>CONCATENATE("3071-0000-4867","")</f>
        <v>3071-0000-4867</v>
      </c>
      <c r="B8907" s="4" t="s">
        <v>8855</v>
      </c>
      <c r="C8907" s="5">
        <v>41489</v>
      </c>
      <c r="D8907" s="5">
        <v>41549</v>
      </c>
      <c r="E8907" s="4" t="s">
        <v>1410</v>
      </c>
      <c r="F8907" s="4" t="s">
        <v>8851</v>
      </c>
    </row>
    <row r="8908" spans="1:6" x14ac:dyDescent="0.25">
      <c r="A8908" s="4" t="str">
        <f>CONCATENATE("3071-0000-8272","")</f>
        <v>3071-0000-8272</v>
      </c>
      <c r="B8908" s="4" t="s">
        <v>6210</v>
      </c>
      <c r="C8908" s="5">
        <v>41489</v>
      </c>
      <c r="D8908" s="5">
        <v>41549</v>
      </c>
      <c r="E8908" s="4" t="s">
        <v>5185</v>
      </c>
      <c r="F8908" s="4" t="s">
        <v>5185</v>
      </c>
    </row>
    <row r="8909" spans="1:6" x14ac:dyDescent="0.25">
      <c r="A8909" s="4" t="str">
        <f>CONCATENATE("3071-0000-8269","")</f>
        <v>3071-0000-8269</v>
      </c>
      <c r="B8909" s="4" t="s">
        <v>6207</v>
      </c>
      <c r="C8909" s="5">
        <v>41489</v>
      </c>
      <c r="D8909" s="5">
        <v>41549</v>
      </c>
      <c r="E8909" s="4" t="s">
        <v>5185</v>
      </c>
      <c r="F8909" s="4" t="s">
        <v>5185</v>
      </c>
    </row>
    <row r="8910" spans="1:6" x14ac:dyDescent="0.25">
      <c r="A8910" s="4" t="str">
        <f>CONCATENATE("3071-0000-8419","")</f>
        <v>3071-0000-8419</v>
      </c>
      <c r="B8910" s="4" t="s">
        <v>6248</v>
      </c>
      <c r="C8910" s="5">
        <v>41489</v>
      </c>
      <c r="D8910" s="5">
        <v>41549</v>
      </c>
      <c r="E8910" s="4" t="s">
        <v>5185</v>
      </c>
      <c r="F8910" s="4" t="s">
        <v>5185</v>
      </c>
    </row>
    <row r="8911" spans="1:6" x14ac:dyDescent="0.25">
      <c r="A8911" s="4" t="str">
        <f>CONCATENATE("3071-0000-8286","")</f>
        <v>3071-0000-8286</v>
      </c>
      <c r="B8911" s="4" t="s">
        <v>6224</v>
      </c>
      <c r="C8911" s="5">
        <v>41489</v>
      </c>
      <c r="D8911" s="5">
        <v>41549</v>
      </c>
      <c r="E8911" s="4" t="s">
        <v>5185</v>
      </c>
      <c r="F8911" s="4" t="s">
        <v>5185</v>
      </c>
    </row>
    <row r="8912" spans="1:6" x14ac:dyDescent="0.25">
      <c r="A8912" s="4" t="str">
        <f>CONCATENATE("3071-0000-8302","")</f>
        <v>3071-0000-8302</v>
      </c>
      <c r="B8912" s="4" t="s">
        <v>6242</v>
      </c>
      <c r="C8912" s="5">
        <v>41489</v>
      </c>
      <c r="D8912" s="5">
        <v>41549</v>
      </c>
      <c r="E8912" s="4" t="s">
        <v>5185</v>
      </c>
      <c r="F8912" s="4" t="s">
        <v>5185</v>
      </c>
    </row>
    <row r="8913" spans="1:6" x14ac:dyDescent="0.25">
      <c r="A8913" s="4" t="str">
        <f>CONCATENATE("3071-0000-8296","")</f>
        <v>3071-0000-8296</v>
      </c>
      <c r="B8913" s="4" t="s">
        <v>6236</v>
      </c>
      <c r="C8913" s="5">
        <v>41489</v>
      </c>
      <c r="D8913" s="5">
        <v>41549</v>
      </c>
      <c r="E8913" s="4" t="s">
        <v>5185</v>
      </c>
      <c r="F8913" s="4" t="s">
        <v>5185</v>
      </c>
    </row>
    <row r="8914" spans="1:6" x14ac:dyDescent="0.25">
      <c r="A8914" s="4" t="str">
        <f>CONCATENATE("3071-0000-8306","")</f>
        <v>3071-0000-8306</v>
      </c>
      <c r="B8914" s="4" t="s">
        <v>6230</v>
      </c>
      <c r="C8914" s="5">
        <v>41489</v>
      </c>
      <c r="D8914" s="5">
        <v>41549</v>
      </c>
      <c r="E8914" s="4" t="s">
        <v>5185</v>
      </c>
      <c r="F8914" s="4" t="s">
        <v>5185</v>
      </c>
    </row>
    <row r="8915" spans="1:6" x14ac:dyDescent="0.25">
      <c r="A8915" s="4" t="str">
        <f>CONCATENATE("3071-0000-3046","")</f>
        <v>3071-0000-3046</v>
      </c>
      <c r="B8915" s="4" t="s">
        <v>1042</v>
      </c>
      <c r="C8915" s="5">
        <v>41489</v>
      </c>
      <c r="D8915" s="5">
        <v>41549</v>
      </c>
      <c r="E8915" s="4" t="s">
        <v>7</v>
      </c>
      <c r="F8915" s="4" t="s">
        <v>808</v>
      </c>
    </row>
    <row r="8916" spans="1:6" x14ac:dyDescent="0.25">
      <c r="A8916" s="4" t="str">
        <f>CONCATENATE("3071-0000-2527","")</f>
        <v>3071-0000-2527</v>
      </c>
      <c r="B8916" s="4" t="s">
        <v>3712</v>
      </c>
      <c r="C8916" s="5">
        <v>41489</v>
      </c>
      <c r="D8916" s="5">
        <v>41549</v>
      </c>
      <c r="E8916" s="4" t="s">
        <v>2944</v>
      </c>
      <c r="F8916" s="4" t="s">
        <v>3593</v>
      </c>
    </row>
    <row r="8917" spans="1:6" x14ac:dyDescent="0.25">
      <c r="A8917" s="4" t="str">
        <f>CONCATENATE("3071-0000-0241","")</f>
        <v>3071-0000-0241</v>
      </c>
      <c r="B8917" s="4" t="s">
        <v>531</v>
      </c>
      <c r="C8917" s="5">
        <v>41489</v>
      </c>
      <c r="D8917" s="5">
        <v>41549</v>
      </c>
      <c r="E8917" s="4" t="s">
        <v>7</v>
      </c>
      <c r="F8917" s="4" t="s">
        <v>7</v>
      </c>
    </row>
    <row r="8918" spans="1:6" x14ac:dyDescent="0.25">
      <c r="A8918" s="4" t="str">
        <f>CONCATENATE("3071-0000-2587","")</f>
        <v>3071-0000-2587</v>
      </c>
      <c r="B8918" s="4" t="s">
        <v>3269</v>
      </c>
      <c r="C8918" s="5">
        <v>41489</v>
      </c>
      <c r="D8918" s="5">
        <v>41549</v>
      </c>
      <c r="E8918" s="4" t="s">
        <v>2944</v>
      </c>
      <c r="F8918" s="4" t="s">
        <v>3164</v>
      </c>
    </row>
    <row r="8919" spans="1:6" x14ac:dyDescent="0.25">
      <c r="A8919" s="4" t="str">
        <f>CONCATENATE("3071-0000-2572","")</f>
        <v>3071-0000-2572</v>
      </c>
      <c r="B8919" s="4" t="s">
        <v>3270</v>
      </c>
      <c r="C8919" s="5">
        <v>41489</v>
      </c>
      <c r="D8919" s="5">
        <v>41549</v>
      </c>
      <c r="E8919" s="4" t="s">
        <v>2944</v>
      </c>
      <c r="F8919" s="4" t="s">
        <v>3164</v>
      </c>
    </row>
    <row r="8920" spans="1:6" x14ac:dyDescent="0.25">
      <c r="A8920" s="4" t="str">
        <f>CONCATENATE("3071-0000-7512","")</f>
        <v>3071-0000-7512</v>
      </c>
      <c r="B8920" s="4" t="s">
        <v>4326</v>
      </c>
      <c r="C8920" s="5">
        <v>41489</v>
      </c>
      <c r="D8920" s="5">
        <v>41549</v>
      </c>
      <c r="E8920" s="4" t="s">
        <v>1410</v>
      </c>
      <c r="F8920" s="4" t="s">
        <v>1410</v>
      </c>
    </row>
    <row r="8921" spans="1:6" x14ac:dyDescent="0.25">
      <c r="A8921" s="4" t="str">
        <f>CONCATENATE("3071-0000-2574","")</f>
        <v>3071-0000-2574</v>
      </c>
      <c r="B8921" s="4" t="s">
        <v>3254</v>
      </c>
      <c r="C8921" s="5">
        <v>41489</v>
      </c>
      <c r="D8921" s="5">
        <v>41549</v>
      </c>
      <c r="E8921" s="4" t="s">
        <v>2944</v>
      </c>
      <c r="F8921" s="4" t="s">
        <v>3164</v>
      </c>
    </row>
    <row r="8922" spans="1:6" x14ac:dyDescent="0.25">
      <c r="A8922" s="4" t="str">
        <f>CONCATENATE("3071-0000-3152","")</f>
        <v>3071-0000-3152</v>
      </c>
      <c r="B8922" s="4" t="s">
        <v>1236</v>
      </c>
      <c r="C8922" s="5">
        <v>41489</v>
      </c>
      <c r="D8922" s="5">
        <v>41549</v>
      </c>
      <c r="E8922" s="4" t="s">
        <v>7</v>
      </c>
      <c r="F8922" s="4" t="s">
        <v>808</v>
      </c>
    </row>
    <row r="8923" spans="1:6" x14ac:dyDescent="0.25">
      <c r="A8923" s="4" t="str">
        <f>CONCATENATE("3071-0000-3101","")</f>
        <v>3071-0000-3101</v>
      </c>
      <c r="B8923" s="4" t="s">
        <v>1322</v>
      </c>
      <c r="C8923" s="5">
        <v>41489</v>
      </c>
      <c r="D8923" s="5">
        <v>41549</v>
      </c>
      <c r="E8923" s="4" t="s">
        <v>7</v>
      </c>
      <c r="F8923" s="4" t="s">
        <v>808</v>
      </c>
    </row>
    <row r="8924" spans="1:6" x14ac:dyDescent="0.25">
      <c r="A8924" s="4" t="str">
        <f>CONCATENATE("3071-0000-5129","")</f>
        <v>3071-0000-5129</v>
      </c>
      <c r="B8924" s="4" t="s">
        <v>8955</v>
      </c>
      <c r="C8924" s="5">
        <v>41489</v>
      </c>
      <c r="D8924" s="5">
        <v>41549</v>
      </c>
      <c r="E8924" s="4" t="s">
        <v>1410</v>
      </c>
      <c r="F8924" s="4" t="s">
        <v>8903</v>
      </c>
    </row>
    <row r="8925" spans="1:6" x14ac:dyDescent="0.25">
      <c r="A8925" s="4" t="str">
        <f>CONCATENATE("3071-0000-4266","")</f>
        <v>3071-0000-4266</v>
      </c>
      <c r="B8925" s="4" t="s">
        <v>8913</v>
      </c>
      <c r="C8925" s="5">
        <v>41489</v>
      </c>
      <c r="D8925" s="5">
        <v>41549</v>
      </c>
      <c r="E8925" s="4" t="s">
        <v>1410</v>
      </c>
      <c r="F8925" s="4" t="s">
        <v>8696</v>
      </c>
    </row>
    <row r="8926" spans="1:6" x14ac:dyDescent="0.25">
      <c r="A8926" s="4" t="str">
        <f>CONCATENATE("3071-0000-6315","")</f>
        <v>3071-0000-6315</v>
      </c>
      <c r="B8926" s="4" t="s">
        <v>7377</v>
      </c>
      <c r="C8926" s="5">
        <v>41489</v>
      </c>
      <c r="D8926" s="5">
        <v>41549</v>
      </c>
      <c r="E8926" s="4" t="s">
        <v>1410</v>
      </c>
      <c r="F8926" s="4" t="s">
        <v>7309</v>
      </c>
    </row>
    <row r="8927" spans="1:6" x14ac:dyDescent="0.25">
      <c r="A8927" s="4" t="str">
        <f>CONCATENATE("3071-0000-5869","")</f>
        <v>3071-0000-5869</v>
      </c>
      <c r="B8927" s="4" t="s">
        <v>7384</v>
      </c>
      <c r="C8927" s="5">
        <v>41489</v>
      </c>
      <c r="D8927" s="5">
        <v>41549</v>
      </c>
      <c r="E8927" s="4" t="s">
        <v>5185</v>
      </c>
      <c r="F8927" s="4" t="s">
        <v>5185</v>
      </c>
    </row>
    <row r="8928" spans="1:6" x14ac:dyDescent="0.25">
      <c r="A8928" s="4" t="str">
        <f>CONCATENATE("3071-0000-5551","")</f>
        <v>3071-0000-5551</v>
      </c>
      <c r="B8928" s="4" t="s">
        <v>7316</v>
      </c>
      <c r="C8928" s="5">
        <v>41489</v>
      </c>
      <c r="D8928" s="5">
        <v>41549</v>
      </c>
      <c r="E8928" s="4" t="s">
        <v>5185</v>
      </c>
      <c r="F8928" s="4" t="s">
        <v>5185</v>
      </c>
    </row>
    <row r="8929" spans="1:6" x14ac:dyDescent="0.25">
      <c r="A8929" s="4" t="str">
        <f>CONCATENATE("3071-0000-5964","")</f>
        <v>3071-0000-5964</v>
      </c>
      <c r="B8929" s="4" t="s">
        <v>7399</v>
      </c>
      <c r="C8929" s="5">
        <v>41489</v>
      </c>
      <c r="D8929" s="5">
        <v>41549</v>
      </c>
      <c r="E8929" s="4" t="s">
        <v>5185</v>
      </c>
      <c r="F8929" s="4" t="s">
        <v>5185</v>
      </c>
    </row>
    <row r="8930" spans="1:6" x14ac:dyDescent="0.25">
      <c r="A8930" s="4" t="str">
        <f>CONCATENATE("3071-0000-7711","")</f>
        <v>3071-0000-7711</v>
      </c>
      <c r="B8930" s="4" t="s">
        <v>5142</v>
      </c>
      <c r="C8930" s="5">
        <v>41489</v>
      </c>
      <c r="D8930" s="5">
        <v>41549</v>
      </c>
      <c r="E8930" s="4" t="s">
        <v>1410</v>
      </c>
      <c r="F8930" s="4" t="s">
        <v>4616</v>
      </c>
    </row>
    <row r="8931" spans="1:6" x14ac:dyDescent="0.25">
      <c r="A8931" s="4" t="str">
        <f>CONCATENATE("3071-0000-8634","")</f>
        <v>3071-0000-8634</v>
      </c>
      <c r="B8931" s="4" t="s">
        <v>6203</v>
      </c>
      <c r="C8931" s="5">
        <v>41489</v>
      </c>
      <c r="D8931" s="5">
        <v>41549</v>
      </c>
      <c r="E8931" s="4" t="s">
        <v>5185</v>
      </c>
      <c r="F8931" s="4" t="s">
        <v>6181</v>
      </c>
    </row>
    <row r="8932" spans="1:6" x14ac:dyDescent="0.25">
      <c r="A8932" s="4" t="str">
        <f>CONCATENATE("3071-0000-3964","")</f>
        <v>3071-0000-3964</v>
      </c>
      <c r="B8932" s="4" t="s">
        <v>4163</v>
      </c>
      <c r="C8932" s="5">
        <v>41489</v>
      </c>
      <c r="D8932" s="5">
        <v>41549</v>
      </c>
      <c r="E8932" s="4" t="s">
        <v>2944</v>
      </c>
      <c r="F8932" s="4" t="s">
        <v>3513</v>
      </c>
    </row>
    <row r="8933" spans="1:6" x14ac:dyDescent="0.25">
      <c r="A8933" s="4" t="str">
        <f>CONCATENATE("3071-0000-1079","")</f>
        <v>3071-0000-1079</v>
      </c>
      <c r="B8933" s="4" t="s">
        <v>2171</v>
      </c>
      <c r="C8933" s="5">
        <v>41489</v>
      </c>
      <c r="D8933" s="5">
        <v>41549</v>
      </c>
      <c r="E8933" s="4" t="s">
        <v>1857</v>
      </c>
      <c r="F8933" s="4" t="s">
        <v>2144</v>
      </c>
    </row>
    <row r="8934" spans="1:6" x14ac:dyDescent="0.25">
      <c r="A8934" s="4" t="str">
        <f>CONCATENATE("3071-0000-0715","")</f>
        <v>3071-0000-0715</v>
      </c>
      <c r="B8934" s="4" t="s">
        <v>133</v>
      </c>
      <c r="C8934" s="5">
        <v>41489</v>
      </c>
      <c r="D8934" s="5">
        <v>41549</v>
      </c>
      <c r="E8934" s="4" t="s">
        <v>7</v>
      </c>
      <c r="F8934" s="4" t="s">
        <v>7</v>
      </c>
    </row>
    <row r="8935" spans="1:6" x14ac:dyDescent="0.25">
      <c r="A8935" s="4" t="str">
        <f>CONCATENATE("3071-0000-1625","")</f>
        <v>3071-0000-1625</v>
      </c>
      <c r="B8935" s="4" t="s">
        <v>2854</v>
      </c>
      <c r="C8935" s="5">
        <v>41489</v>
      </c>
      <c r="D8935" s="5">
        <v>41549</v>
      </c>
      <c r="E8935" s="4" t="s">
        <v>1381</v>
      </c>
      <c r="F8935" s="4" t="s">
        <v>2303</v>
      </c>
    </row>
    <row r="8936" spans="1:6" x14ac:dyDescent="0.25">
      <c r="A8936" s="4" t="str">
        <f>CONCATENATE("3071-0000-0101","")</f>
        <v>3071-0000-0101</v>
      </c>
      <c r="B8936" s="4" t="s">
        <v>193</v>
      </c>
      <c r="C8936" s="5">
        <v>41489</v>
      </c>
      <c r="D8936" s="5">
        <v>41549</v>
      </c>
      <c r="E8936" s="4" t="s">
        <v>7</v>
      </c>
      <c r="F8936" s="4" t="s">
        <v>7</v>
      </c>
    </row>
    <row r="8937" spans="1:6" x14ac:dyDescent="0.25">
      <c r="A8937" s="4" t="str">
        <f>CONCATENATE("3071-0000-3966","")</f>
        <v>3071-0000-3966</v>
      </c>
      <c r="B8937" s="4" t="s">
        <v>4166</v>
      </c>
      <c r="C8937" s="5">
        <v>41489</v>
      </c>
      <c r="D8937" s="5">
        <v>41549</v>
      </c>
      <c r="E8937" s="4" t="s">
        <v>2944</v>
      </c>
      <c r="F8937" s="4" t="s">
        <v>3513</v>
      </c>
    </row>
    <row r="8938" spans="1:6" x14ac:dyDescent="0.25">
      <c r="A8938" s="4" t="str">
        <f>CONCATENATE("3071-0000-8034","")</f>
        <v>3071-0000-8034</v>
      </c>
      <c r="B8938" s="4" t="s">
        <v>5686</v>
      </c>
      <c r="C8938" s="5">
        <v>41489</v>
      </c>
      <c r="D8938" s="5">
        <v>41549</v>
      </c>
      <c r="E8938" s="4" t="s">
        <v>5185</v>
      </c>
      <c r="F8938" s="4" t="s">
        <v>5185</v>
      </c>
    </row>
    <row r="8939" spans="1:6" x14ac:dyDescent="0.25">
      <c r="A8939" s="4" t="str">
        <f>CONCATENATE("3071-0000-4940","")</f>
        <v>3071-0000-4940</v>
      </c>
      <c r="B8939" s="4" t="s">
        <v>8873</v>
      </c>
      <c r="C8939" s="5">
        <v>41489</v>
      </c>
      <c r="D8939" s="5">
        <v>41549</v>
      </c>
      <c r="E8939" s="4" t="s">
        <v>1410</v>
      </c>
      <c r="F8939" s="4" t="s">
        <v>8696</v>
      </c>
    </row>
    <row r="8940" spans="1:6" x14ac:dyDescent="0.25">
      <c r="A8940" s="4" t="str">
        <f>CONCATENATE("3071-0000-7781","")</f>
        <v>3071-0000-7781</v>
      </c>
      <c r="B8940" s="4" t="s">
        <v>4352</v>
      </c>
      <c r="C8940" s="5">
        <v>41489</v>
      </c>
      <c r="D8940" s="5">
        <v>41549</v>
      </c>
      <c r="E8940" s="4" t="s">
        <v>1410</v>
      </c>
      <c r="F8940" s="4" t="s">
        <v>1410</v>
      </c>
    </row>
    <row r="8941" spans="1:6" x14ac:dyDescent="0.25">
      <c r="A8941" s="4" t="str">
        <f>CONCATENATE("3071-0000-0849","")</f>
        <v>3071-0000-0849</v>
      </c>
      <c r="B8941" s="4" t="s">
        <v>1930</v>
      </c>
      <c r="C8941" s="5">
        <v>41489</v>
      </c>
      <c r="D8941" s="5">
        <v>41549</v>
      </c>
      <c r="E8941" s="4" t="s">
        <v>1857</v>
      </c>
      <c r="F8941" s="4" t="s">
        <v>1857</v>
      </c>
    </row>
    <row r="8942" spans="1:6" x14ac:dyDescent="0.25">
      <c r="A8942" s="4" t="str">
        <f>CONCATENATE("3071-0000-5658","")</f>
        <v>3071-0000-5658</v>
      </c>
      <c r="B8942" s="4" t="s">
        <v>6957</v>
      </c>
      <c r="C8942" s="5">
        <v>41489</v>
      </c>
      <c r="D8942" s="5">
        <v>41549</v>
      </c>
      <c r="E8942" s="4" t="s">
        <v>5185</v>
      </c>
      <c r="F8942" s="4" t="s">
        <v>5185</v>
      </c>
    </row>
    <row r="8943" spans="1:6" x14ac:dyDescent="0.25">
      <c r="A8943" s="4" t="str">
        <f>CONCATENATE("3071-0000-7114","")</f>
        <v>3071-0000-7114</v>
      </c>
      <c r="B8943" s="4" t="s">
        <v>4761</v>
      </c>
      <c r="C8943" s="5">
        <v>41489</v>
      </c>
      <c r="D8943" s="5">
        <v>41549</v>
      </c>
      <c r="E8943" s="4" t="s">
        <v>1410</v>
      </c>
      <c r="F8943" s="4" t="s">
        <v>1410</v>
      </c>
    </row>
    <row r="8944" spans="1:6" x14ac:dyDescent="0.25">
      <c r="A8944" s="4" t="str">
        <f>CONCATENATE("3071-0000-7310","")</f>
        <v>3071-0000-7310</v>
      </c>
      <c r="B8944" s="4" t="s">
        <v>4503</v>
      </c>
      <c r="C8944" s="5">
        <v>41489</v>
      </c>
      <c r="D8944" s="5">
        <v>41549</v>
      </c>
      <c r="E8944" s="4" t="s">
        <v>1410</v>
      </c>
      <c r="F8944" s="4" t="s">
        <v>1410</v>
      </c>
    </row>
    <row r="8945" spans="1:6" x14ac:dyDescent="0.25">
      <c r="A8945" s="4" t="str">
        <f>CONCATENATE("3071-0000-9114","")</f>
        <v>3071-0000-9114</v>
      </c>
      <c r="B8945" s="4" t="s">
        <v>5306</v>
      </c>
      <c r="C8945" s="5">
        <v>41489</v>
      </c>
      <c r="D8945" s="5">
        <v>41549</v>
      </c>
      <c r="E8945" s="4" t="s">
        <v>5185</v>
      </c>
      <c r="F8945" s="4" t="s">
        <v>5185</v>
      </c>
    </row>
    <row r="8946" spans="1:6" x14ac:dyDescent="0.25">
      <c r="A8946" s="4" t="str">
        <f>CONCATENATE("3071-0000-8278","")</f>
        <v>3071-0000-8278</v>
      </c>
      <c r="B8946" s="4" t="s">
        <v>6216</v>
      </c>
      <c r="C8946" s="5">
        <v>41489</v>
      </c>
      <c r="D8946" s="5">
        <v>41549</v>
      </c>
      <c r="E8946" s="4" t="s">
        <v>5185</v>
      </c>
      <c r="F8946" s="4" t="s">
        <v>5185</v>
      </c>
    </row>
    <row r="8947" spans="1:6" x14ac:dyDescent="0.25">
      <c r="A8947" s="4" t="str">
        <f>CONCATENATE("3071-0000-8436","")</f>
        <v>3071-0000-8436</v>
      </c>
      <c r="B8947" s="4" t="s">
        <v>5273</v>
      </c>
      <c r="C8947" s="5">
        <v>41489</v>
      </c>
      <c r="D8947" s="5">
        <v>41549</v>
      </c>
      <c r="E8947" s="4" t="s">
        <v>5185</v>
      </c>
      <c r="F8947" s="4" t="s">
        <v>5185</v>
      </c>
    </row>
    <row r="8948" spans="1:6" x14ac:dyDescent="0.25">
      <c r="A8948" s="4" t="str">
        <f>CONCATENATE("3071-0000-5882","")</f>
        <v>3071-0000-5882</v>
      </c>
      <c r="B8948" s="4" t="s">
        <v>7564</v>
      </c>
      <c r="C8948" s="5">
        <v>41489</v>
      </c>
      <c r="D8948" s="5">
        <v>41549</v>
      </c>
      <c r="E8948" s="4" t="s">
        <v>5185</v>
      </c>
      <c r="F8948" s="4" t="s">
        <v>5185</v>
      </c>
    </row>
    <row r="8949" spans="1:6" x14ac:dyDescent="0.25">
      <c r="A8949" s="4" t="str">
        <f>CONCATENATE("3071-0000-3698","")</f>
        <v>3071-0000-3698</v>
      </c>
      <c r="B8949" s="4" t="s">
        <v>1813</v>
      </c>
      <c r="C8949" s="5">
        <v>41489</v>
      </c>
      <c r="D8949" s="5">
        <v>41549</v>
      </c>
      <c r="E8949" s="4" t="s">
        <v>1410</v>
      </c>
      <c r="F8949" s="4" t="s">
        <v>1411</v>
      </c>
    </row>
    <row r="8950" spans="1:6" x14ac:dyDescent="0.25">
      <c r="A8950" s="4" t="str">
        <f>CONCATENATE("3071-0000-8427","")</f>
        <v>3071-0000-8427</v>
      </c>
      <c r="B8950" s="4" t="s">
        <v>5275</v>
      </c>
      <c r="C8950" s="5">
        <v>41489</v>
      </c>
      <c r="D8950" s="5">
        <v>41549</v>
      </c>
      <c r="E8950" s="4" t="s">
        <v>5185</v>
      </c>
      <c r="F8950" s="4" t="s">
        <v>5185</v>
      </c>
    </row>
    <row r="8951" spans="1:6" x14ac:dyDescent="0.25">
      <c r="A8951" s="4" t="str">
        <f>CONCATENATE("3071-0000-5918","")</f>
        <v>3071-0000-5918</v>
      </c>
      <c r="B8951" s="4" t="s">
        <v>7541</v>
      </c>
      <c r="C8951" s="5">
        <v>41489</v>
      </c>
      <c r="D8951" s="5">
        <v>41549</v>
      </c>
      <c r="E8951" s="4" t="s">
        <v>5185</v>
      </c>
      <c r="F8951" s="4" t="s">
        <v>5185</v>
      </c>
    </row>
    <row r="8952" spans="1:6" x14ac:dyDescent="0.25">
      <c r="A8952" s="4" t="str">
        <f>CONCATENATE("3071-0000-1656","")</f>
        <v>3071-0000-1656</v>
      </c>
      <c r="B8952" s="4" t="s">
        <v>2374</v>
      </c>
      <c r="C8952" s="5">
        <v>41489</v>
      </c>
      <c r="D8952" s="5">
        <v>41549</v>
      </c>
      <c r="E8952" s="4" t="s">
        <v>1381</v>
      </c>
      <c r="F8952" s="4" t="s">
        <v>2215</v>
      </c>
    </row>
    <row r="8953" spans="1:6" x14ac:dyDescent="0.25">
      <c r="A8953" s="4" t="str">
        <f>CONCATENATE("3071-0000-0175","")</f>
        <v>3071-0000-0175</v>
      </c>
      <c r="B8953" s="4" t="s">
        <v>366</v>
      </c>
      <c r="C8953" s="5">
        <v>41489</v>
      </c>
      <c r="D8953" s="5">
        <v>41549</v>
      </c>
      <c r="E8953" s="4" t="s">
        <v>7</v>
      </c>
      <c r="F8953" s="4" t="s">
        <v>273</v>
      </c>
    </row>
    <row r="8954" spans="1:6" x14ac:dyDescent="0.25">
      <c r="A8954" s="4" t="str">
        <f>CONCATENATE("3071-0000-5945","")</f>
        <v>3071-0000-5945</v>
      </c>
      <c r="B8954" s="4" t="s">
        <v>7293</v>
      </c>
      <c r="C8954" s="5">
        <v>41489</v>
      </c>
      <c r="D8954" s="5">
        <v>41549</v>
      </c>
      <c r="E8954" s="4" t="s">
        <v>5185</v>
      </c>
      <c r="F8954" s="4" t="s">
        <v>5185</v>
      </c>
    </row>
    <row r="8955" spans="1:6" x14ac:dyDescent="0.25">
      <c r="A8955" s="4" t="str">
        <f>CONCATENATE("3071-0000-8077","")</f>
        <v>3071-0000-8077</v>
      </c>
      <c r="B8955" s="4" t="s">
        <v>5913</v>
      </c>
      <c r="C8955" s="5">
        <v>41489</v>
      </c>
      <c r="D8955" s="5">
        <v>41549</v>
      </c>
      <c r="E8955" s="4" t="s">
        <v>5185</v>
      </c>
      <c r="F8955" s="4" t="s">
        <v>5185</v>
      </c>
    </row>
    <row r="8956" spans="1:6" x14ac:dyDescent="0.25">
      <c r="A8956" s="4" t="str">
        <f>CONCATENATE("3071-0000-3911","")</f>
        <v>3071-0000-3911</v>
      </c>
      <c r="B8956" s="4" t="s">
        <v>4134</v>
      </c>
      <c r="C8956" s="5">
        <v>41489</v>
      </c>
      <c r="D8956" s="5">
        <v>41549</v>
      </c>
      <c r="E8956" s="4" t="s">
        <v>7</v>
      </c>
      <c r="F8956" s="4" t="s">
        <v>3902</v>
      </c>
    </row>
    <row r="8957" spans="1:6" x14ac:dyDescent="0.25">
      <c r="A8957" s="4" t="str">
        <f>CONCATENATE("3071-0000-5942","")</f>
        <v>3071-0000-5942</v>
      </c>
      <c r="B8957" s="4" t="s">
        <v>7297</v>
      </c>
      <c r="C8957" s="5">
        <v>41489</v>
      </c>
      <c r="D8957" s="5">
        <v>41549</v>
      </c>
      <c r="E8957" s="4" t="s">
        <v>5185</v>
      </c>
      <c r="F8957" s="4" t="s">
        <v>5185</v>
      </c>
    </row>
    <row r="8958" spans="1:6" x14ac:dyDescent="0.25">
      <c r="A8958" s="4" t="str">
        <f>CONCATENATE("3071-0000-5946","")</f>
        <v>3071-0000-5946</v>
      </c>
      <c r="B8958" s="4" t="s">
        <v>7294</v>
      </c>
      <c r="C8958" s="5">
        <v>41489</v>
      </c>
      <c r="D8958" s="5">
        <v>41549</v>
      </c>
      <c r="E8958" s="4" t="s">
        <v>5185</v>
      </c>
      <c r="F8958" s="4" t="s">
        <v>5185</v>
      </c>
    </row>
    <row r="8959" spans="1:6" x14ac:dyDescent="0.25">
      <c r="A8959" s="4" t="str">
        <f>CONCATENATE("3071-0000-1150","")</f>
        <v>3071-0000-1150</v>
      </c>
      <c r="B8959" s="4" t="s">
        <v>1933</v>
      </c>
      <c r="C8959" s="5">
        <v>41489</v>
      </c>
      <c r="D8959" s="5">
        <v>41549</v>
      </c>
      <c r="E8959" s="4" t="s">
        <v>1857</v>
      </c>
      <c r="F8959" s="4" t="s">
        <v>1857</v>
      </c>
    </row>
    <row r="8960" spans="1:6" x14ac:dyDescent="0.25">
      <c r="A8960" s="4" t="str">
        <f>CONCATENATE("3071-0000-6159","")</f>
        <v>3071-0000-6159</v>
      </c>
      <c r="B8960" s="4" t="s">
        <v>7677</v>
      </c>
      <c r="C8960" s="5">
        <v>41489</v>
      </c>
      <c r="D8960" s="5">
        <v>41549</v>
      </c>
      <c r="E8960" s="4" t="s">
        <v>1410</v>
      </c>
      <c r="F8960" s="4" t="s">
        <v>1410</v>
      </c>
    </row>
    <row r="8961" spans="1:6" x14ac:dyDescent="0.25">
      <c r="A8961" s="4" t="str">
        <f>CONCATENATE("3071-0000-5731","")</f>
        <v>3071-0000-5731</v>
      </c>
      <c r="B8961" s="4" t="s">
        <v>7446</v>
      </c>
      <c r="C8961" s="5">
        <v>41489</v>
      </c>
      <c r="D8961" s="5">
        <v>41549</v>
      </c>
      <c r="E8961" s="4" t="s">
        <v>5185</v>
      </c>
      <c r="F8961" s="4" t="s">
        <v>5185</v>
      </c>
    </row>
    <row r="8962" spans="1:6" x14ac:dyDescent="0.25">
      <c r="A8962" s="4" t="str">
        <f>CONCATENATE("3071-0000-3963","")</f>
        <v>3071-0000-3963</v>
      </c>
      <c r="B8962" s="4" t="s">
        <v>4162</v>
      </c>
      <c r="C8962" s="5">
        <v>41489</v>
      </c>
      <c r="D8962" s="5">
        <v>41549</v>
      </c>
      <c r="E8962" s="4" t="s">
        <v>2944</v>
      </c>
      <c r="F8962" s="4" t="s">
        <v>3513</v>
      </c>
    </row>
    <row r="8963" spans="1:6" x14ac:dyDescent="0.25">
      <c r="A8963" s="4" t="str">
        <f>CONCATENATE("3071-0000-0708","")</f>
        <v>3071-0000-0708</v>
      </c>
      <c r="B8963" s="4" t="s">
        <v>295</v>
      </c>
      <c r="C8963" s="5">
        <v>41489</v>
      </c>
      <c r="D8963" s="5">
        <v>41549</v>
      </c>
      <c r="E8963" s="4" t="s">
        <v>7</v>
      </c>
      <c r="F8963" s="4" t="s">
        <v>7</v>
      </c>
    </row>
    <row r="8964" spans="1:6" x14ac:dyDescent="0.25">
      <c r="A8964" s="4" t="str">
        <f>CONCATENATE("3071-0000-4181","")</f>
        <v>3071-0000-4181</v>
      </c>
      <c r="B8964" s="4" t="s">
        <v>4190</v>
      </c>
      <c r="C8964" s="5">
        <v>41489</v>
      </c>
      <c r="D8964" s="5">
        <v>41549</v>
      </c>
      <c r="E8964" s="4" t="s">
        <v>7</v>
      </c>
      <c r="F8964" s="4" t="s">
        <v>3813</v>
      </c>
    </row>
    <row r="8965" spans="1:6" x14ac:dyDescent="0.25">
      <c r="A8965" s="4" t="str">
        <f>CONCATENATE("3071-0000-7727","")</f>
        <v>3071-0000-7727</v>
      </c>
      <c r="B8965" s="4" t="s">
        <v>4526</v>
      </c>
      <c r="C8965" s="5">
        <v>41489</v>
      </c>
      <c r="D8965" s="5">
        <v>41549</v>
      </c>
      <c r="E8965" s="4" t="s">
        <v>1410</v>
      </c>
      <c r="F8965" s="4" t="s">
        <v>1410</v>
      </c>
    </row>
    <row r="8966" spans="1:6" x14ac:dyDescent="0.25">
      <c r="A8966" s="4" t="str">
        <f>CONCATENATE("3071-0000-6155","")</f>
        <v>3071-0000-6155</v>
      </c>
      <c r="B8966" s="4" t="s">
        <v>7716</v>
      </c>
      <c r="C8966" s="5">
        <v>41489</v>
      </c>
      <c r="D8966" s="5">
        <v>41549</v>
      </c>
      <c r="E8966" s="4" t="s">
        <v>1410</v>
      </c>
      <c r="F8966" s="4" t="s">
        <v>1410</v>
      </c>
    </row>
    <row r="8967" spans="1:6" x14ac:dyDescent="0.25">
      <c r="A8967" s="4" t="str">
        <f>CONCATENATE("3071-0000-0533","")</f>
        <v>3071-0000-0533</v>
      </c>
      <c r="B8967" s="4" t="s">
        <v>597</v>
      </c>
      <c r="C8967" s="5">
        <v>41489</v>
      </c>
      <c r="D8967" s="5">
        <v>41549</v>
      </c>
      <c r="E8967" s="4" t="s">
        <v>7</v>
      </c>
      <c r="F8967" s="4" t="s">
        <v>7</v>
      </c>
    </row>
    <row r="8968" spans="1:6" x14ac:dyDescent="0.25">
      <c r="A8968" s="4" t="str">
        <f>CONCATENATE("3071-0000-5823","")</f>
        <v>3071-0000-5823</v>
      </c>
      <c r="B8968" s="4" t="s">
        <v>7615</v>
      </c>
      <c r="C8968" s="5">
        <v>41489</v>
      </c>
      <c r="D8968" s="5">
        <v>41549</v>
      </c>
      <c r="E8968" s="4" t="s">
        <v>5185</v>
      </c>
      <c r="F8968" s="4" t="s">
        <v>5185</v>
      </c>
    </row>
    <row r="8969" spans="1:6" x14ac:dyDescent="0.25">
      <c r="A8969" s="4" t="str">
        <f>CONCATENATE("3071-0000-1295","")</f>
        <v>3071-0000-1295</v>
      </c>
      <c r="B8969" s="4" t="s">
        <v>2407</v>
      </c>
      <c r="C8969" s="5">
        <v>41489</v>
      </c>
      <c r="D8969" s="5">
        <v>41549</v>
      </c>
      <c r="E8969" s="4" t="s">
        <v>1381</v>
      </c>
      <c r="F8969" s="4" t="s">
        <v>2303</v>
      </c>
    </row>
    <row r="8970" spans="1:6" x14ac:dyDescent="0.25">
      <c r="A8970" s="4" t="str">
        <f>CONCATENATE("3071-0000-0967","")</f>
        <v>3071-0000-0967</v>
      </c>
      <c r="B8970" s="4" t="s">
        <v>2081</v>
      </c>
      <c r="C8970" s="5">
        <v>41489</v>
      </c>
      <c r="D8970" s="5">
        <v>41549</v>
      </c>
      <c r="E8970" s="4" t="s">
        <v>1857</v>
      </c>
      <c r="F8970" s="4" t="s">
        <v>1857</v>
      </c>
    </row>
    <row r="8971" spans="1:6" x14ac:dyDescent="0.25">
      <c r="A8971" s="4" t="str">
        <f>CONCATENATE("3071-0000-0518","")</f>
        <v>3071-0000-0518</v>
      </c>
      <c r="B8971" s="4" t="s">
        <v>699</v>
      </c>
      <c r="C8971" s="5">
        <v>41489</v>
      </c>
      <c r="D8971" s="5">
        <v>41549</v>
      </c>
      <c r="E8971" s="4" t="s">
        <v>7</v>
      </c>
      <c r="F8971" s="4" t="s">
        <v>7</v>
      </c>
    </row>
    <row r="8972" spans="1:6" x14ac:dyDescent="0.25">
      <c r="A8972" s="4" t="str">
        <f>CONCATENATE("3071-0000-3460","")</f>
        <v>3071-0000-3460</v>
      </c>
      <c r="B8972" s="4" t="s">
        <v>1748</v>
      </c>
      <c r="C8972" s="5">
        <v>41489</v>
      </c>
      <c r="D8972" s="5">
        <v>41549</v>
      </c>
      <c r="E8972" s="4" t="s">
        <v>1410</v>
      </c>
      <c r="F8972" s="4" t="s">
        <v>1411</v>
      </c>
    </row>
    <row r="8973" spans="1:6" x14ac:dyDescent="0.25">
      <c r="A8973" s="4" t="str">
        <f>CONCATENATE("3071-0000-0930","")</f>
        <v>3071-0000-0930</v>
      </c>
      <c r="B8973" s="4" t="s">
        <v>2082</v>
      </c>
      <c r="C8973" s="5">
        <v>41489</v>
      </c>
      <c r="D8973" s="5">
        <v>41549</v>
      </c>
      <c r="E8973" s="4" t="s">
        <v>1857</v>
      </c>
      <c r="F8973" s="4" t="s">
        <v>1857</v>
      </c>
    </row>
    <row r="8974" spans="1:6" x14ac:dyDescent="0.25">
      <c r="A8974" s="4" t="str">
        <f>CONCATENATE("3071-0000-2286","")</f>
        <v>3071-0000-2286</v>
      </c>
      <c r="B8974" s="4" t="s">
        <v>3733</v>
      </c>
      <c r="C8974" s="5">
        <v>41489</v>
      </c>
      <c r="D8974" s="5">
        <v>41549</v>
      </c>
      <c r="E8974" s="4" t="s">
        <v>2944</v>
      </c>
      <c r="F8974" s="4" t="s">
        <v>2945</v>
      </c>
    </row>
    <row r="8975" spans="1:6" x14ac:dyDescent="0.25">
      <c r="A8975" s="4" t="str">
        <f>CONCATENATE("3071-0000-1020","")</f>
        <v>3071-0000-1020</v>
      </c>
      <c r="B8975" s="4" t="s">
        <v>2078</v>
      </c>
      <c r="C8975" s="5">
        <v>41489</v>
      </c>
      <c r="D8975" s="5">
        <v>41549</v>
      </c>
      <c r="E8975" s="4" t="s">
        <v>1857</v>
      </c>
      <c r="F8975" s="4" t="s">
        <v>1857</v>
      </c>
    </row>
    <row r="8976" spans="1:6" x14ac:dyDescent="0.25">
      <c r="A8976" s="4" t="str">
        <f>CONCATENATE("3071-0000-1863","")</f>
        <v>3071-0000-1863</v>
      </c>
      <c r="B8976" s="4" t="s">
        <v>2904</v>
      </c>
      <c r="C8976" s="5">
        <v>41489</v>
      </c>
      <c r="D8976" s="5">
        <v>41549</v>
      </c>
      <c r="E8976" s="4" t="s">
        <v>1381</v>
      </c>
      <c r="F8976" s="4" t="s">
        <v>2662</v>
      </c>
    </row>
    <row r="8977" spans="1:6" x14ac:dyDescent="0.25">
      <c r="A8977" s="4" t="str">
        <f>CONCATENATE("3071-0000-1645","")</f>
        <v>3071-0000-1645</v>
      </c>
      <c r="B8977" s="4" t="s">
        <v>2721</v>
      </c>
      <c r="C8977" s="5">
        <v>41489</v>
      </c>
      <c r="D8977" s="5">
        <v>41549</v>
      </c>
      <c r="E8977" s="4" t="s">
        <v>1381</v>
      </c>
      <c r="F8977" s="4" t="s">
        <v>2303</v>
      </c>
    </row>
    <row r="8978" spans="1:6" x14ac:dyDescent="0.25">
      <c r="A8978" s="4" t="str">
        <f>CONCATENATE("3071-0000-1646","")</f>
        <v>3071-0000-1646</v>
      </c>
      <c r="B8978" s="4" t="s">
        <v>2717</v>
      </c>
      <c r="C8978" s="5">
        <v>41489</v>
      </c>
      <c r="D8978" s="5">
        <v>41549</v>
      </c>
      <c r="E8978" s="4" t="s">
        <v>1381</v>
      </c>
      <c r="F8978" s="4" t="s">
        <v>2303</v>
      </c>
    </row>
    <row r="8979" spans="1:6" x14ac:dyDescent="0.25">
      <c r="A8979" s="4" t="str">
        <f>CONCATENATE("3071-0000-1639","")</f>
        <v>3071-0000-1639</v>
      </c>
      <c r="B8979" s="4" t="s">
        <v>2714</v>
      </c>
      <c r="C8979" s="5">
        <v>41489</v>
      </c>
      <c r="D8979" s="5">
        <v>41549</v>
      </c>
      <c r="E8979" s="4" t="s">
        <v>1381</v>
      </c>
      <c r="F8979" s="4" t="s">
        <v>2303</v>
      </c>
    </row>
    <row r="8980" spans="1:6" x14ac:dyDescent="0.25">
      <c r="A8980" s="4" t="str">
        <f>CONCATENATE("3071-0000-3835","")</f>
        <v>3071-0000-3835</v>
      </c>
      <c r="B8980" s="4" t="s">
        <v>3886</v>
      </c>
      <c r="C8980" s="5">
        <v>41489</v>
      </c>
      <c r="D8980" s="5">
        <v>41549</v>
      </c>
      <c r="E8980" s="4" t="s">
        <v>7</v>
      </c>
      <c r="F8980" s="4" t="s">
        <v>3818</v>
      </c>
    </row>
    <row r="8981" spans="1:6" x14ac:dyDescent="0.25">
      <c r="A8981" s="4" t="str">
        <f>CONCATENATE("3071-0000-0035","")</f>
        <v>3071-0000-0035</v>
      </c>
      <c r="B8981" s="4" t="s">
        <v>65</v>
      </c>
      <c r="C8981" s="5">
        <v>41489</v>
      </c>
      <c r="D8981" s="5">
        <v>41549</v>
      </c>
      <c r="E8981" s="4" t="s">
        <v>7</v>
      </c>
      <c r="F8981" s="4" t="s">
        <v>7</v>
      </c>
    </row>
    <row r="8982" spans="1:6" x14ac:dyDescent="0.25">
      <c r="A8982" s="4" t="str">
        <f>CONCATENATE("3071-0000-4345","")</f>
        <v>3071-0000-4345</v>
      </c>
      <c r="B8982" s="4" t="s">
        <v>9106</v>
      </c>
      <c r="C8982" s="5">
        <v>41489</v>
      </c>
      <c r="D8982" s="5">
        <v>41549</v>
      </c>
      <c r="E8982" s="4" t="s">
        <v>1410</v>
      </c>
      <c r="F8982" s="4" t="s">
        <v>8696</v>
      </c>
    </row>
    <row r="8983" spans="1:6" x14ac:dyDescent="0.25">
      <c r="A8983" s="4" t="str">
        <f>CONCATENATE("3071-0000-1521","")</f>
        <v>3071-0000-1521</v>
      </c>
      <c r="B8983" s="4" t="s">
        <v>2857</v>
      </c>
      <c r="C8983" s="5">
        <v>41489</v>
      </c>
      <c r="D8983" s="5">
        <v>41549</v>
      </c>
      <c r="E8983" s="4" t="s">
        <v>1381</v>
      </c>
      <c r="F8983" s="4" t="s">
        <v>2303</v>
      </c>
    </row>
    <row r="8984" spans="1:6" x14ac:dyDescent="0.25">
      <c r="A8984" s="4" t="str">
        <f>CONCATENATE("3071-0000-6037","")</f>
        <v>3071-0000-6037</v>
      </c>
      <c r="B8984" s="4" t="s">
        <v>7222</v>
      </c>
      <c r="C8984" s="5">
        <v>41489</v>
      </c>
      <c r="D8984" s="5">
        <v>41549</v>
      </c>
      <c r="E8984" s="4" t="s">
        <v>7069</v>
      </c>
      <c r="F8984" s="4" t="s">
        <v>7183</v>
      </c>
    </row>
    <row r="8985" spans="1:6" x14ac:dyDescent="0.25">
      <c r="A8985" s="4" t="str">
        <f>CONCATENATE("3071-0000-6003","")</f>
        <v>3071-0000-6003</v>
      </c>
      <c r="B8985" s="4" t="s">
        <v>7116</v>
      </c>
      <c r="C8985" s="5">
        <v>41489</v>
      </c>
      <c r="D8985" s="5">
        <v>41549</v>
      </c>
      <c r="E8985" s="4" t="s">
        <v>5185</v>
      </c>
      <c r="F8985" s="4" t="s">
        <v>5185</v>
      </c>
    </row>
    <row r="8986" spans="1:6" x14ac:dyDescent="0.25">
      <c r="A8986" s="4" t="str">
        <f>CONCATENATE("3071-0000-6112","")</f>
        <v>3071-0000-6112</v>
      </c>
      <c r="B8986" s="4" t="s">
        <v>7714</v>
      </c>
      <c r="C8986" s="5">
        <v>41489</v>
      </c>
      <c r="D8986" s="5">
        <v>41549</v>
      </c>
      <c r="E8986" s="4" t="s">
        <v>1410</v>
      </c>
      <c r="F8986" s="4" t="s">
        <v>1410</v>
      </c>
    </row>
    <row r="8987" spans="1:6" x14ac:dyDescent="0.25">
      <c r="A8987" s="4" t="str">
        <f>CONCATENATE("3071-0000-5969","")</f>
        <v>3071-0000-5969</v>
      </c>
      <c r="B8987" s="4" t="s">
        <v>7257</v>
      </c>
      <c r="C8987" s="5">
        <v>41489</v>
      </c>
      <c r="D8987" s="5">
        <v>41549</v>
      </c>
      <c r="E8987" s="4" t="s">
        <v>5185</v>
      </c>
      <c r="F8987" s="4" t="s">
        <v>5185</v>
      </c>
    </row>
    <row r="8988" spans="1:6" x14ac:dyDescent="0.25">
      <c r="A8988" s="4" t="str">
        <f>CONCATENATE("3071-0000-5654","")</f>
        <v>3071-0000-5654</v>
      </c>
      <c r="B8988" s="4" t="s">
        <v>7280</v>
      </c>
      <c r="C8988" s="5">
        <v>41489</v>
      </c>
      <c r="D8988" s="5">
        <v>41549</v>
      </c>
      <c r="E8988" s="4" t="s">
        <v>5185</v>
      </c>
      <c r="F8988" s="4" t="s">
        <v>5185</v>
      </c>
    </row>
    <row r="8989" spans="1:6" x14ac:dyDescent="0.25">
      <c r="A8989" s="4" t="str">
        <f>CONCATENATE("3071-0000-6033","")</f>
        <v>3071-0000-6033</v>
      </c>
      <c r="B8989" s="4" t="s">
        <v>7227</v>
      </c>
      <c r="C8989" s="5">
        <v>41489</v>
      </c>
      <c r="D8989" s="5">
        <v>41549</v>
      </c>
      <c r="E8989" s="4" t="s">
        <v>7069</v>
      </c>
      <c r="F8989" s="4" t="s">
        <v>7183</v>
      </c>
    </row>
    <row r="8990" spans="1:6" x14ac:dyDescent="0.25">
      <c r="A8990" s="4" t="str">
        <f>CONCATENATE("3071-0000-6227","")</f>
        <v>3071-0000-6227</v>
      </c>
      <c r="B8990" s="4" t="s">
        <v>7456</v>
      </c>
      <c r="C8990" s="5">
        <v>41489</v>
      </c>
      <c r="D8990" s="5">
        <v>41549</v>
      </c>
      <c r="E8990" s="4" t="s">
        <v>1410</v>
      </c>
      <c r="F8990" s="4" t="s">
        <v>7309</v>
      </c>
    </row>
    <row r="8991" spans="1:6" x14ac:dyDescent="0.25">
      <c r="A8991" s="4" t="str">
        <f>CONCATENATE("3071-0000-6893","")</f>
        <v>3071-0000-6893</v>
      </c>
      <c r="B8991" s="4" t="s">
        <v>4625</v>
      </c>
      <c r="C8991" s="5">
        <v>41489</v>
      </c>
      <c r="D8991" s="5">
        <v>41549</v>
      </c>
      <c r="E8991" s="4" t="s">
        <v>1410</v>
      </c>
      <c r="F8991" s="4" t="s">
        <v>1410</v>
      </c>
    </row>
    <row r="8992" spans="1:6" x14ac:dyDescent="0.25">
      <c r="A8992" s="4" t="str">
        <f>CONCATENATE("3071-0000-4656","")</f>
        <v>3071-0000-4656</v>
      </c>
      <c r="B8992" s="4" t="s">
        <v>9482</v>
      </c>
      <c r="C8992" s="5">
        <v>41489</v>
      </c>
      <c r="D8992" s="5">
        <v>41549</v>
      </c>
      <c r="E8992" s="4" t="s">
        <v>1410</v>
      </c>
      <c r="F8992" s="4" t="s">
        <v>8696</v>
      </c>
    </row>
    <row r="8993" spans="1:6" x14ac:dyDescent="0.25">
      <c r="A8993" s="4" t="str">
        <f>CONCATENATE("3071-0000-5726","")</f>
        <v>3071-0000-5726</v>
      </c>
      <c r="B8993" s="4" t="s">
        <v>7440</v>
      </c>
      <c r="C8993" s="5">
        <v>41489</v>
      </c>
      <c r="D8993" s="5">
        <v>41549</v>
      </c>
      <c r="E8993" s="4" t="s">
        <v>5185</v>
      </c>
      <c r="F8993" s="4" t="s">
        <v>5185</v>
      </c>
    </row>
    <row r="8994" spans="1:6" x14ac:dyDescent="0.25">
      <c r="A8994" s="4" t="str">
        <f>CONCATENATE("3071-0000-1141","")</f>
        <v>3071-0000-1141</v>
      </c>
      <c r="B8994" s="4" t="s">
        <v>2188</v>
      </c>
      <c r="C8994" s="5">
        <v>41489</v>
      </c>
      <c r="D8994" s="5">
        <v>41549</v>
      </c>
      <c r="E8994" s="4" t="s">
        <v>1857</v>
      </c>
      <c r="F8994" s="4" t="s">
        <v>2052</v>
      </c>
    </row>
    <row r="8995" spans="1:6" x14ac:dyDescent="0.25">
      <c r="A8995" s="4" t="str">
        <f>CONCATENATE("3071-0000-4790","")</f>
        <v>3071-0000-4790</v>
      </c>
      <c r="B8995" s="4" t="s">
        <v>9102</v>
      </c>
      <c r="C8995" s="5">
        <v>41489</v>
      </c>
      <c r="D8995" s="5">
        <v>41549</v>
      </c>
      <c r="E8995" s="4" t="s">
        <v>1410</v>
      </c>
      <c r="F8995" s="4" t="s">
        <v>8696</v>
      </c>
    </row>
    <row r="8996" spans="1:6" x14ac:dyDescent="0.25">
      <c r="A8996" s="4" t="str">
        <f>CONCATENATE("3071-0000-0266","")</f>
        <v>3071-0000-0266</v>
      </c>
      <c r="B8996" s="4" t="s">
        <v>602</v>
      </c>
      <c r="C8996" s="5">
        <v>41489</v>
      </c>
      <c r="D8996" s="5">
        <v>41549</v>
      </c>
      <c r="E8996" s="4" t="s">
        <v>7</v>
      </c>
      <c r="F8996" s="4" t="s">
        <v>7</v>
      </c>
    </row>
    <row r="8997" spans="1:6" x14ac:dyDescent="0.25">
      <c r="A8997" s="4" t="str">
        <f>CONCATENATE("3071-0000-8343","")</f>
        <v>3071-0000-8343</v>
      </c>
      <c r="B8997" s="4" t="s">
        <v>6039</v>
      </c>
      <c r="C8997" s="5">
        <v>41489</v>
      </c>
      <c r="D8997" s="5">
        <v>41549</v>
      </c>
      <c r="E8997" s="4" t="s">
        <v>5185</v>
      </c>
      <c r="F8997" s="4" t="s">
        <v>5185</v>
      </c>
    </row>
    <row r="8998" spans="1:6" x14ac:dyDescent="0.25">
      <c r="A8998" s="4" t="str">
        <f>CONCATENATE("3071-0000-3969","")</f>
        <v>3071-0000-3969</v>
      </c>
      <c r="B8998" s="4" t="s">
        <v>4211</v>
      </c>
      <c r="C8998" s="5">
        <v>41489</v>
      </c>
      <c r="D8998" s="5">
        <v>41549</v>
      </c>
      <c r="E8998" s="4" t="s">
        <v>2944</v>
      </c>
      <c r="F8998" s="4" t="s">
        <v>3513</v>
      </c>
    </row>
    <row r="8999" spans="1:6" x14ac:dyDescent="0.25">
      <c r="A8999" s="4" t="str">
        <f>CONCATENATE("3071-0000-2881","")</f>
        <v>3071-0000-2881</v>
      </c>
      <c r="B8999" s="4" t="s">
        <v>910</v>
      </c>
      <c r="C8999" s="5">
        <v>41489</v>
      </c>
      <c r="D8999" s="5">
        <v>41549</v>
      </c>
      <c r="E8999" s="4" t="s">
        <v>7</v>
      </c>
      <c r="F8999" s="4" t="s">
        <v>808</v>
      </c>
    </row>
    <row r="9000" spans="1:6" x14ac:dyDescent="0.25">
      <c r="A9000" s="4" t="str">
        <f>CONCATENATE("3071-0000-0910","")</f>
        <v>3071-0000-0910</v>
      </c>
      <c r="B9000" s="4" t="s">
        <v>2042</v>
      </c>
      <c r="C9000" s="5">
        <v>41489</v>
      </c>
      <c r="D9000" s="5">
        <v>41549</v>
      </c>
      <c r="E9000" s="4" t="s">
        <v>1857</v>
      </c>
      <c r="F9000" s="4" t="s">
        <v>1857</v>
      </c>
    </row>
    <row r="9001" spans="1:6" x14ac:dyDescent="0.25">
      <c r="A9001" s="4" t="str">
        <f>CONCATENATE("3071-0000-1938","")</f>
        <v>3071-0000-1938</v>
      </c>
      <c r="B9001" s="4" t="s">
        <v>3042</v>
      </c>
      <c r="C9001" s="5">
        <v>41489</v>
      </c>
      <c r="D9001" s="5">
        <v>41549</v>
      </c>
      <c r="E9001" s="4" t="s">
        <v>2944</v>
      </c>
      <c r="F9001" s="4" t="s">
        <v>2945</v>
      </c>
    </row>
    <row r="9002" spans="1:6" x14ac:dyDescent="0.25">
      <c r="A9002" s="4" t="str">
        <f>CONCATENATE("3071-0000-0636","")</f>
        <v>3071-0000-0636</v>
      </c>
      <c r="B9002" s="4" t="s">
        <v>112</v>
      </c>
      <c r="C9002" s="5">
        <v>41489</v>
      </c>
      <c r="D9002" s="5">
        <v>41549</v>
      </c>
      <c r="E9002" s="4" t="s">
        <v>7</v>
      </c>
      <c r="F9002" s="4" t="s">
        <v>7</v>
      </c>
    </row>
    <row r="9003" spans="1:6" x14ac:dyDescent="0.25">
      <c r="A9003" s="4" t="str">
        <f>CONCATENATE("3071-0000-0804","")</f>
        <v>3071-0000-0804</v>
      </c>
      <c r="B9003" s="4" t="s">
        <v>1913</v>
      </c>
      <c r="C9003" s="5">
        <v>41489</v>
      </c>
      <c r="D9003" s="5">
        <v>41549</v>
      </c>
      <c r="E9003" s="4" t="s">
        <v>1857</v>
      </c>
      <c r="F9003" s="4" t="s">
        <v>1857</v>
      </c>
    </row>
    <row r="9004" spans="1:6" x14ac:dyDescent="0.25">
      <c r="A9004" s="4" t="str">
        <f>CONCATENATE("3071-0000-0876","")</f>
        <v>3071-0000-0876</v>
      </c>
      <c r="B9004" s="4" t="s">
        <v>2006</v>
      </c>
      <c r="C9004" s="5">
        <v>41489</v>
      </c>
      <c r="D9004" s="5">
        <v>41549</v>
      </c>
      <c r="E9004" s="4" t="s">
        <v>1857</v>
      </c>
      <c r="F9004" s="4" t="s">
        <v>1857</v>
      </c>
    </row>
    <row r="9005" spans="1:6" x14ac:dyDescent="0.25">
      <c r="A9005" s="4" t="str">
        <f>CONCATENATE("3071-0000-0265","")</f>
        <v>3071-0000-0265</v>
      </c>
      <c r="B9005" s="4" t="s">
        <v>599</v>
      </c>
      <c r="C9005" s="5">
        <v>41489</v>
      </c>
      <c r="D9005" s="5">
        <v>41549</v>
      </c>
      <c r="E9005" s="4" t="s">
        <v>7</v>
      </c>
      <c r="F9005" s="4" t="s">
        <v>7</v>
      </c>
    </row>
    <row r="9006" spans="1:6" x14ac:dyDescent="0.25">
      <c r="A9006" s="4" t="str">
        <f>CONCATENATE("3071-0000-0891","")</f>
        <v>3071-0000-0891</v>
      </c>
      <c r="B9006" s="4" t="s">
        <v>2039</v>
      </c>
      <c r="C9006" s="5">
        <v>41489</v>
      </c>
      <c r="D9006" s="5">
        <v>41549</v>
      </c>
      <c r="E9006" s="4" t="s">
        <v>1857</v>
      </c>
      <c r="F9006" s="4" t="s">
        <v>1857</v>
      </c>
    </row>
    <row r="9007" spans="1:6" x14ac:dyDescent="0.25">
      <c r="A9007" s="4" t="str">
        <f>CONCATENATE("3071-0000-1973","")</f>
        <v>3071-0000-1973</v>
      </c>
      <c r="B9007" s="4" t="s">
        <v>3105</v>
      </c>
      <c r="C9007" s="5">
        <v>41489</v>
      </c>
      <c r="D9007" s="5">
        <v>41549</v>
      </c>
      <c r="E9007" s="4" t="s">
        <v>2944</v>
      </c>
      <c r="F9007" s="4" t="s">
        <v>2945</v>
      </c>
    </row>
    <row r="9008" spans="1:6" x14ac:dyDescent="0.25">
      <c r="A9008" s="4" t="str">
        <f>CONCATENATE("3071-0000-3252","")</f>
        <v>3071-0000-3252</v>
      </c>
      <c r="B9008" s="4" t="s">
        <v>1323</v>
      </c>
      <c r="C9008" s="5">
        <v>41489</v>
      </c>
      <c r="D9008" s="5">
        <v>41549</v>
      </c>
      <c r="E9008" s="4" t="s">
        <v>7</v>
      </c>
      <c r="F9008" s="4" t="s">
        <v>808</v>
      </c>
    </row>
    <row r="9009" spans="1:6" x14ac:dyDescent="0.25">
      <c r="A9009" s="4" t="str">
        <f>CONCATENATE("3071-0000-1136","")</f>
        <v>3071-0000-1136</v>
      </c>
      <c r="B9009" s="4" t="s">
        <v>2000</v>
      </c>
      <c r="C9009" s="5">
        <v>41489</v>
      </c>
      <c r="D9009" s="5">
        <v>41549</v>
      </c>
      <c r="E9009" s="4" t="s">
        <v>1857</v>
      </c>
      <c r="F9009" s="4" t="s">
        <v>1857</v>
      </c>
    </row>
    <row r="9010" spans="1:6" x14ac:dyDescent="0.25">
      <c r="A9010" s="4" t="str">
        <f>CONCATENATE("3071-0000-1115","")</f>
        <v>3071-0000-1115</v>
      </c>
      <c r="B9010" s="4" t="s">
        <v>2029</v>
      </c>
      <c r="C9010" s="5">
        <v>41489</v>
      </c>
      <c r="D9010" s="5">
        <v>41549</v>
      </c>
      <c r="E9010" s="4" t="s">
        <v>1857</v>
      </c>
      <c r="F9010" s="4" t="s">
        <v>1857</v>
      </c>
    </row>
    <row r="9011" spans="1:6" x14ac:dyDescent="0.25">
      <c r="A9011" s="4" t="str">
        <f>CONCATENATE("3071-0000-3844","")</f>
        <v>3071-0000-3844</v>
      </c>
      <c r="B9011" s="4" t="s">
        <v>3906</v>
      </c>
      <c r="C9011" s="5">
        <v>41489</v>
      </c>
      <c r="D9011" s="5">
        <v>41549</v>
      </c>
      <c r="E9011" s="4" t="s">
        <v>2944</v>
      </c>
      <c r="F9011" s="4" t="s">
        <v>3513</v>
      </c>
    </row>
    <row r="9012" spans="1:6" x14ac:dyDescent="0.25">
      <c r="A9012" s="4" t="str">
        <f>CONCATENATE("3071-0000-3628","")</f>
        <v>3071-0000-3628</v>
      </c>
      <c r="B9012" s="4" t="s">
        <v>1641</v>
      </c>
      <c r="C9012" s="5">
        <v>41489</v>
      </c>
      <c r="D9012" s="5">
        <v>41549</v>
      </c>
      <c r="E9012" s="4" t="s">
        <v>1410</v>
      </c>
      <c r="F9012" s="4" t="s">
        <v>1410</v>
      </c>
    </row>
    <row r="9013" spans="1:6" x14ac:dyDescent="0.25">
      <c r="A9013" s="4" t="str">
        <f>CONCATENATE("3071-0000-1976","")</f>
        <v>3071-0000-1976</v>
      </c>
      <c r="B9013" s="4" t="s">
        <v>3109</v>
      </c>
      <c r="C9013" s="5">
        <v>41489</v>
      </c>
      <c r="D9013" s="5">
        <v>41549</v>
      </c>
      <c r="E9013" s="4" t="s">
        <v>2944</v>
      </c>
      <c r="F9013" s="4" t="s">
        <v>2945</v>
      </c>
    </row>
    <row r="9014" spans="1:6" x14ac:dyDescent="0.25">
      <c r="A9014" s="4" t="str">
        <f>CONCATENATE("3071-0000-3626","")</f>
        <v>3071-0000-3626</v>
      </c>
      <c r="B9014" s="4" t="s">
        <v>1643</v>
      </c>
      <c r="C9014" s="5">
        <v>41489</v>
      </c>
      <c r="D9014" s="5">
        <v>41549</v>
      </c>
      <c r="E9014" s="4" t="s">
        <v>1410</v>
      </c>
      <c r="F9014" s="4" t="s">
        <v>1410</v>
      </c>
    </row>
    <row r="9015" spans="1:6" x14ac:dyDescent="0.25">
      <c r="A9015" s="4" t="str">
        <f>CONCATENATE("3071-0000-1940","")</f>
        <v>3071-0000-1940</v>
      </c>
      <c r="B9015" s="4" t="s">
        <v>3110</v>
      </c>
      <c r="C9015" s="5">
        <v>41489</v>
      </c>
      <c r="D9015" s="5">
        <v>41549</v>
      </c>
      <c r="E9015" s="4" t="s">
        <v>2944</v>
      </c>
      <c r="F9015" s="4" t="s">
        <v>2945</v>
      </c>
    </row>
    <row r="9016" spans="1:6" x14ac:dyDescent="0.25">
      <c r="A9016" s="4" t="str">
        <f>CONCATENATE("3071-0000-2234","")</f>
        <v>3071-0000-2234</v>
      </c>
      <c r="B9016" s="4" t="s">
        <v>3081</v>
      </c>
      <c r="C9016" s="5">
        <v>41489</v>
      </c>
      <c r="D9016" s="5">
        <v>41549</v>
      </c>
      <c r="E9016" s="4" t="s">
        <v>2944</v>
      </c>
      <c r="F9016" s="4" t="s">
        <v>2945</v>
      </c>
    </row>
    <row r="9017" spans="1:6" x14ac:dyDescent="0.25">
      <c r="A9017" s="4" t="str">
        <f>CONCATENATE("3071-0000-1002","")</f>
        <v>3071-0000-1002</v>
      </c>
      <c r="B9017" s="4" t="s">
        <v>2218</v>
      </c>
      <c r="C9017" s="5">
        <v>41489</v>
      </c>
      <c r="D9017" s="5">
        <v>41549</v>
      </c>
      <c r="E9017" s="4" t="s">
        <v>1857</v>
      </c>
      <c r="F9017" s="4" t="s">
        <v>1857</v>
      </c>
    </row>
    <row r="9018" spans="1:6" x14ac:dyDescent="0.25">
      <c r="A9018" s="4" t="str">
        <f>CONCATENATE("3071-0000-0501","")</f>
        <v>3071-0000-0501</v>
      </c>
      <c r="B9018" s="4" t="s">
        <v>412</v>
      </c>
      <c r="C9018" s="5">
        <v>41489</v>
      </c>
      <c r="D9018" s="5">
        <v>41549</v>
      </c>
      <c r="E9018" s="4" t="s">
        <v>7</v>
      </c>
      <c r="F9018" s="4" t="s">
        <v>273</v>
      </c>
    </row>
    <row r="9019" spans="1:6" x14ac:dyDescent="0.25">
      <c r="A9019" s="4" t="str">
        <f>CONCATENATE("3071-0000-3554","")</f>
        <v>3071-0000-3554</v>
      </c>
      <c r="B9019" s="4" t="s">
        <v>1545</v>
      </c>
      <c r="C9019" s="5">
        <v>41489</v>
      </c>
      <c r="D9019" s="5">
        <v>41549</v>
      </c>
      <c r="E9019" s="4" t="s">
        <v>1410</v>
      </c>
      <c r="F9019" s="4" t="s">
        <v>1411</v>
      </c>
    </row>
    <row r="9020" spans="1:6" x14ac:dyDescent="0.25">
      <c r="A9020" s="4" t="str">
        <f>CONCATENATE("3071-0000-0322","")</f>
        <v>3071-0000-0322</v>
      </c>
      <c r="B9020" s="4" t="s">
        <v>102</v>
      </c>
      <c r="C9020" s="5">
        <v>41489</v>
      </c>
      <c r="D9020" s="5">
        <v>41549</v>
      </c>
      <c r="E9020" s="4" t="s">
        <v>7</v>
      </c>
      <c r="F9020" s="4" t="s">
        <v>7</v>
      </c>
    </row>
    <row r="9021" spans="1:6" x14ac:dyDescent="0.25">
      <c r="A9021" s="4" t="str">
        <f>CONCATENATE("3071-0000-8639","")</f>
        <v>3071-0000-8639</v>
      </c>
      <c r="B9021" s="4" t="s">
        <v>6312</v>
      </c>
      <c r="C9021" s="5">
        <v>41489</v>
      </c>
      <c r="D9021" s="5">
        <v>41549</v>
      </c>
      <c r="E9021" s="4" t="s">
        <v>5185</v>
      </c>
      <c r="F9021" s="4" t="s">
        <v>5292</v>
      </c>
    </row>
    <row r="9022" spans="1:6" x14ac:dyDescent="0.25">
      <c r="A9022" s="4" t="str">
        <f>CONCATENATE("3071-0000-3052","")</f>
        <v>3071-0000-3052</v>
      </c>
      <c r="B9022" s="4" t="s">
        <v>1187</v>
      </c>
      <c r="C9022" s="5">
        <v>41489</v>
      </c>
      <c r="D9022" s="5">
        <v>41549</v>
      </c>
      <c r="E9022" s="4" t="s">
        <v>7</v>
      </c>
      <c r="F9022" s="4" t="s">
        <v>808</v>
      </c>
    </row>
    <row r="9023" spans="1:6" x14ac:dyDescent="0.25">
      <c r="A9023" s="4" t="str">
        <f>CONCATENATE("3071-0000-3033","")</f>
        <v>3071-0000-3033</v>
      </c>
      <c r="B9023" s="4" t="s">
        <v>1201</v>
      </c>
      <c r="C9023" s="5">
        <v>41489</v>
      </c>
      <c r="D9023" s="5">
        <v>41549</v>
      </c>
      <c r="E9023" s="4" t="s">
        <v>7</v>
      </c>
      <c r="F9023" s="4" t="s">
        <v>808</v>
      </c>
    </row>
    <row r="9024" spans="1:6" x14ac:dyDescent="0.25">
      <c r="A9024" s="4" t="str">
        <f>CONCATENATE("3071-0000-0337","")</f>
        <v>3071-0000-0337</v>
      </c>
      <c r="B9024" s="4" t="s">
        <v>614</v>
      </c>
      <c r="C9024" s="5">
        <v>41489</v>
      </c>
      <c r="D9024" s="5">
        <v>41549</v>
      </c>
      <c r="E9024" s="4" t="s">
        <v>7</v>
      </c>
      <c r="F9024" s="4" t="s">
        <v>7</v>
      </c>
    </row>
    <row r="9025" spans="1:6" x14ac:dyDescent="0.25">
      <c r="A9025" s="4" t="str">
        <f>CONCATENATE("3071-0000-5518","")</f>
        <v>3071-0000-5518</v>
      </c>
      <c r="B9025" s="4" t="s">
        <v>6785</v>
      </c>
      <c r="C9025" s="5">
        <v>41489</v>
      </c>
      <c r="D9025" s="5">
        <v>41549</v>
      </c>
      <c r="E9025" s="4" t="s">
        <v>1410</v>
      </c>
      <c r="F9025" s="4" t="s">
        <v>6635</v>
      </c>
    </row>
    <row r="9026" spans="1:6" x14ac:dyDescent="0.25">
      <c r="A9026" s="4" t="str">
        <f>CONCATENATE("3071-0000-3044","")</f>
        <v>3071-0000-3044</v>
      </c>
      <c r="B9026" s="4" t="s">
        <v>1009</v>
      </c>
      <c r="C9026" s="5">
        <v>41489</v>
      </c>
      <c r="D9026" s="5">
        <v>41549</v>
      </c>
      <c r="E9026" s="4" t="s">
        <v>7</v>
      </c>
      <c r="F9026" s="4" t="s">
        <v>808</v>
      </c>
    </row>
    <row r="9027" spans="1:6" x14ac:dyDescent="0.25">
      <c r="A9027" s="4" t="str">
        <f>CONCATENATE("3071-0000-2109","")</f>
        <v>3071-0000-2109</v>
      </c>
      <c r="B9027" s="4" t="s">
        <v>3514</v>
      </c>
      <c r="C9027" s="5">
        <v>41489</v>
      </c>
      <c r="D9027" s="5">
        <v>41549</v>
      </c>
      <c r="E9027" s="4" t="s">
        <v>2944</v>
      </c>
      <c r="F9027" s="4" t="s">
        <v>2945</v>
      </c>
    </row>
    <row r="9028" spans="1:6" x14ac:dyDescent="0.25">
      <c r="A9028" s="4" t="str">
        <f>CONCATENATE("3071-0000-2884","")</f>
        <v>3071-0000-2884</v>
      </c>
      <c r="B9028" s="4" t="s">
        <v>927</v>
      </c>
      <c r="C9028" s="5">
        <v>41489</v>
      </c>
      <c r="D9028" s="5">
        <v>41549</v>
      </c>
      <c r="E9028" s="4" t="s">
        <v>7</v>
      </c>
      <c r="F9028" s="4" t="s">
        <v>808</v>
      </c>
    </row>
    <row r="9029" spans="1:6" x14ac:dyDescent="0.25">
      <c r="A9029" s="4" t="str">
        <f>CONCATENATE("3071-0000-3189","")</f>
        <v>3071-0000-3189</v>
      </c>
      <c r="B9029" s="4" t="s">
        <v>1272</v>
      </c>
      <c r="C9029" s="5">
        <v>41489</v>
      </c>
      <c r="D9029" s="5">
        <v>41549</v>
      </c>
      <c r="E9029" s="4" t="s">
        <v>7</v>
      </c>
      <c r="F9029" s="4" t="s">
        <v>808</v>
      </c>
    </row>
    <row r="9030" spans="1:6" x14ac:dyDescent="0.25">
      <c r="A9030" s="4" t="str">
        <f>CONCATENATE("3071-0000-3190","")</f>
        <v>3071-0000-3190</v>
      </c>
      <c r="B9030" s="4" t="s">
        <v>1269</v>
      </c>
      <c r="C9030" s="5">
        <v>41489</v>
      </c>
      <c r="D9030" s="5">
        <v>41549</v>
      </c>
      <c r="E9030" s="4" t="s">
        <v>7</v>
      </c>
      <c r="F9030" s="4" t="s">
        <v>808</v>
      </c>
    </row>
    <row r="9031" spans="1:6" x14ac:dyDescent="0.25">
      <c r="A9031" s="4" t="str">
        <f>CONCATENATE("3071-0000-2925","")</f>
        <v>3071-0000-2925</v>
      </c>
      <c r="B9031" s="4" t="s">
        <v>1342</v>
      </c>
      <c r="C9031" s="5">
        <v>41489</v>
      </c>
      <c r="D9031" s="5">
        <v>41549</v>
      </c>
      <c r="E9031" s="4" t="s">
        <v>7</v>
      </c>
      <c r="F9031" s="4" t="s">
        <v>808</v>
      </c>
    </row>
    <row r="9032" spans="1:6" x14ac:dyDescent="0.25">
      <c r="A9032" s="4" t="str">
        <f>CONCATENATE("3071-0000-2916","")</f>
        <v>3071-0000-2916</v>
      </c>
      <c r="B9032" s="4" t="s">
        <v>1327</v>
      </c>
      <c r="C9032" s="5">
        <v>41489</v>
      </c>
      <c r="D9032" s="5">
        <v>41549</v>
      </c>
      <c r="E9032" s="4" t="s">
        <v>7</v>
      </c>
      <c r="F9032" s="4" t="s">
        <v>808</v>
      </c>
    </row>
    <row r="9033" spans="1:6" x14ac:dyDescent="0.25">
      <c r="A9033" s="4" t="str">
        <f>CONCATENATE("3071-0000-2944","")</f>
        <v>3071-0000-2944</v>
      </c>
      <c r="B9033" s="4" t="s">
        <v>1345</v>
      </c>
      <c r="C9033" s="5">
        <v>41489</v>
      </c>
      <c r="D9033" s="5">
        <v>41549</v>
      </c>
      <c r="E9033" s="4" t="s">
        <v>7</v>
      </c>
      <c r="F9033" s="4" t="s">
        <v>808</v>
      </c>
    </row>
    <row r="9034" spans="1:6" x14ac:dyDescent="0.25">
      <c r="A9034" s="4" t="str">
        <f>CONCATENATE("3071-0000-2782","")</f>
        <v>3071-0000-2782</v>
      </c>
      <c r="B9034" s="4" t="s">
        <v>951</v>
      </c>
      <c r="C9034" s="5">
        <v>41489</v>
      </c>
      <c r="D9034" s="5">
        <v>41549</v>
      </c>
      <c r="E9034" s="4" t="s">
        <v>7</v>
      </c>
      <c r="F9034" s="4" t="s">
        <v>808</v>
      </c>
    </row>
    <row r="9035" spans="1:6" x14ac:dyDescent="0.25">
      <c r="A9035" s="4" t="str">
        <f>CONCATENATE("3071-0000-0010","")</f>
        <v>3071-0000-0010</v>
      </c>
      <c r="B9035" s="4" t="s">
        <v>18</v>
      </c>
      <c r="C9035" s="5">
        <v>41489</v>
      </c>
      <c r="D9035" s="5">
        <v>41549</v>
      </c>
      <c r="E9035" s="4" t="s">
        <v>7</v>
      </c>
      <c r="F9035" s="4" t="s">
        <v>7</v>
      </c>
    </row>
    <row r="9036" spans="1:6" x14ac:dyDescent="0.25">
      <c r="A9036" s="4" t="str">
        <f>CONCATENATE("3071-0000-4071","")</f>
        <v>3071-0000-4071</v>
      </c>
      <c r="B9036" s="4" t="s">
        <v>3958</v>
      </c>
      <c r="C9036" s="5">
        <v>41489</v>
      </c>
      <c r="D9036" s="5">
        <v>41549</v>
      </c>
      <c r="E9036" s="4" t="s">
        <v>7</v>
      </c>
      <c r="F9036" s="4" t="s">
        <v>1419</v>
      </c>
    </row>
    <row r="9037" spans="1:6" x14ac:dyDescent="0.25">
      <c r="A9037" s="4" t="str">
        <f>CONCATENATE("3071-0000-2099","")</f>
        <v>3071-0000-2099</v>
      </c>
      <c r="B9037" s="4" t="s">
        <v>3486</v>
      </c>
      <c r="C9037" s="5">
        <v>41489</v>
      </c>
      <c r="D9037" s="5">
        <v>41549</v>
      </c>
      <c r="E9037" s="4" t="s">
        <v>2944</v>
      </c>
      <c r="F9037" s="4" t="s">
        <v>2945</v>
      </c>
    </row>
    <row r="9038" spans="1:6" x14ac:dyDescent="0.25">
      <c r="A9038" s="4" t="str">
        <f>CONCATENATE("3071-0000-1880","")</f>
        <v>3071-0000-1880</v>
      </c>
      <c r="B9038" s="4" t="s">
        <v>3750</v>
      </c>
      <c r="C9038" s="5">
        <v>41489</v>
      </c>
      <c r="D9038" s="5">
        <v>41549</v>
      </c>
      <c r="E9038" s="4" t="s">
        <v>2944</v>
      </c>
      <c r="F9038" s="4" t="s">
        <v>3593</v>
      </c>
    </row>
    <row r="9039" spans="1:6" x14ac:dyDescent="0.25">
      <c r="A9039" s="4" t="str">
        <f>CONCATENATE("3071-0000-2868","")</f>
        <v>3071-0000-2868</v>
      </c>
      <c r="B9039" s="4" t="s">
        <v>1387</v>
      </c>
      <c r="C9039" s="5">
        <v>41489</v>
      </c>
      <c r="D9039" s="5">
        <v>41549</v>
      </c>
      <c r="E9039" s="4" t="s">
        <v>7</v>
      </c>
      <c r="F9039" s="4" t="s">
        <v>808</v>
      </c>
    </row>
    <row r="9040" spans="1:6" x14ac:dyDescent="0.25">
      <c r="A9040" s="4" t="str">
        <f>CONCATENATE("3071-0000-2869","")</f>
        <v>3071-0000-2869</v>
      </c>
      <c r="B9040" s="4" t="s">
        <v>1389</v>
      </c>
      <c r="C9040" s="5">
        <v>41489</v>
      </c>
      <c r="D9040" s="5">
        <v>41549</v>
      </c>
      <c r="E9040" s="4" t="s">
        <v>7</v>
      </c>
      <c r="F9040" s="4" t="s">
        <v>808</v>
      </c>
    </row>
    <row r="9041" spans="1:6" x14ac:dyDescent="0.25">
      <c r="A9041" s="4" t="str">
        <f>CONCATENATE("3071-0000-0694","")</f>
        <v>3071-0000-0694</v>
      </c>
      <c r="B9041" s="4" t="s">
        <v>678</v>
      </c>
      <c r="C9041" s="5">
        <v>41489</v>
      </c>
      <c r="D9041" s="5">
        <v>41549</v>
      </c>
      <c r="E9041" s="4" t="s">
        <v>7</v>
      </c>
      <c r="F9041" s="4" t="s">
        <v>7</v>
      </c>
    </row>
    <row r="9042" spans="1:6" x14ac:dyDescent="0.25">
      <c r="A9042" s="4" t="str">
        <f>CONCATENATE("3071-0000-6802","")</f>
        <v>3071-0000-6802</v>
      </c>
      <c r="B9042" s="4" t="s">
        <v>8101</v>
      </c>
      <c r="C9042" s="5">
        <v>41489</v>
      </c>
      <c r="D9042" s="5">
        <v>41549</v>
      </c>
      <c r="E9042" s="4" t="s">
        <v>1410</v>
      </c>
      <c r="F9042" s="4" t="s">
        <v>7967</v>
      </c>
    </row>
    <row r="9043" spans="1:6" x14ac:dyDescent="0.25">
      <c r="A9043" s="4" t="str">
        <f>CONCATENATE("3071-0000-0307","")</f>
        <v>3071-0000-0307</v>
      </c>
      <c r="B9043" s="4" t="s">
        <v>582</v>
      </c>
      <c r="C9043" s="5">
        <v>41489</v>
      </c>
      <c r="D9043" s="5">
        <v>41549</v>
      </c>
      <c r="E9043" s="4" t="s">
        <v>7</v>
      </c>
      <c r="F9043" s="4" t="s">
        <v>7</v>
      </c>
    </row>
    <row r="9044" spans="1:6" x14ac:dyDescent="0.25">
      <c r="A9044" s="4" t="str">
        <f>CONCATENATE("3071-0000-3060","")</f>
        <v>3071-0000-3060</v>
      </c>
      <c r="B9044" s="4" t="s">
        <v>881</v>
      </c>
      <c r="C9044" s="5">
        <v>41489</v>
      </c>
      <c r="D9044" s="5">
        <v>41549</v>
      </c>
      <c r="E9044" s="4" t="s">
        <v>7</v>
      </c>
      <c r="F9044" s="4" t="s">
        <v>808</v>
      </c>
    </row>
    <row r="9045" spans="1:6" x14ac:dyDescent="0.25">
      <c r="A9045" s="4" t="str">
        <f>CONCATENATE("3071-0000-2257","")</f>
        <v>3071-0000-2257</v>
      </c>
      <c r="B9045" s="4" t="s">
        <v>3030</v>
      </c>
      <c r="C9045" s="5">
        <v>41489</v>
      </c>
      <c r="D9045" s="5">
        <v>41549</v>
      </c>
      <c r="E9045" s="4" t="s">
        <v>2944</v>
      </c>
      <c r="F9045" s="4" t="s">
        <v>2945</v>
      </c>
    </row>
    <row r="9046" spans="1:6" x14ac:dyDescent="0.25">
      <c r="A9046" s="4" t="str">
        <f>CONCATENATE("3071-0000-3025","")</f>
        <v>3071-0000-3025</v>
      </c>
      <c r="B9046" s="4" t="s">
        <v>953</v>
      </c>
      <c r="C9046" s="5">
        <v>41489</v>
      </c>
      <c r="D9046" s="5">
        <v>41549</v>
      </c>
      <c r="E9046" s="4" t="s">
        <v>7</v>
      </c>
      <c r="F9046" s="4" t="s">
        <v>808</v>
      </c>
    </row>
    <row r="9047" spans="1:6" x14ac:dyDescent="0.25">
      <c r="A9047" s="4" t="str">
        <f>CONCATENATE("3071-0000-9290","")</f>
        <v>3071-0000-9290</v>
      </c>
      <c r="B9047" s="4" t="s">
        <v>8343</v>
      </c>
      <c r="C9047" s="5">
        <v>41489</v>
      </c>
      <c r="D9047" s="5">
        <v>41549</v>
      </c>
      <c r="E9047" s="4" t="s">
        <v>5185</v>
      </c>
      <c r="F9047" s="4" t="s">
        <v>5185</v>
      </c>
    </row>
    <row r="9048" spans="1:6" x14ac:dyDescent="0.25">
      <c r="A9048" s="4" t="str">
        <f>CONCATENATE("3071-0000-9333","")</f>
        <v>3071-0000-9333</v>
      </c>
      <c r="B9048" s="4" t="s">
        <v>8387</v>
      </c>
      <c r="C9048" s="5">
        <v>41489</v>
      </c>
      <c r="D9048" s="5">
        <v>41549</v>
      </c>
      <c r="E9048" s="4" t="s">
        <v>1410</v>
      </c>
      <c r="F9048" s="4" t="s">
        <v>7967</v>
      </c>
    </row>
    <row r="9049" spans="1:6" x14ac:dyDescent="0.25">
      <c r="A9049" s="4" t="str">
        <f>CONCATENATE("3071-0000-6452","")</f>
        <v>3071-0000-6452</v>
      </c>
      <c r="B9049" s="4" t="s">
        <v>8092</v>
      </c>
      <c r="C9049" s="5">
        <v>41489</v>
      </c>
      <c r="D9049" s="5">
        <v>41549</v>
      </c>
      <c r="E9049" s="4" t="s">
        <v>5185</v>
      </c>
      <c r="F9049" s="4" t="s">
        <v>5185</v>
      </c>
    </row>
    <row r="9050" spans="1:6" x14ac:dyDescent="0.25">
      <c r="A9050" s="4" t="str">
        <f>CONCATENATE("3071-0000-0058","")</f>
        <v>3071-0000-0058</v>
      </c>
      <c r="B9050" s="4" t="s">
        <v>113</v>
      </c>
      <c r="C9050" s="5">
        <v>41489</v>
      </c>
      <c r="D9050" s="5">
        <v>41549</v>
      </c>
      <c r="E9050" s="4" t="s">
        <v>7</v>
      </c>
      <c r="F9050" s="4" t="s">
        <v>7</v>
      </c>
    </row>
    <row r="9051" spans="1:6" x14ac:dyDescent="0.25">
      <c r="A9051" s="4" t="str">
        <f>CONCATENATE("3071-0000-1945","")</f>
        <v>3071-0000-1945</v>
      </c>
      <c r="B9051" s="4" t="s">
        <v>3046</v>
      </c>
      <c r="C9051" s="5">
        <v>41489</v>
      </c>
      <c r="D9051" s="5">
        <v>41549</v>
      </c>
      <c r="E9051" s="4" t="s">
        <v>2944</v>
      </c>
      <c r="F9051" s="4" t="s">
        <v>2945</v>
      </c>
    </row>
    <row r="9052" spans="1:6" x14ac:dyDescent="0.25">
      <c r="A9052" s="4" t="str">
        <f>CONCATENATE("3071-0000-7122","")</f>
        <v>3071-0000-7122</v>
      </c>
      <c r="B9052" s="4" t="s">
        <v>4790</v>
      </c>
      <c r="C9052" s="5">
        <v>41489</v>
      </c>
      <c r="D9052" s="5">
        <v>41549</v>
      </c>
      <c r="E9052" s="4" t="s">
        <v>1410</v>
      </c>
      <c r="F9052" s="4" t="s">
        <v>1410</v>
      </c>
    </row>
    <row r="9053" spans="1:6" x14ac:dyDescent="0.25">
      <c r="A9053" s="4" t="str">
        <f>CONCATENATE("3071-0000-3586","")</f>
        <v>3071-0000-3586</v>
      </c>
      <c r="B9053" s="4" t="s">
        <v>1590</v>
      </c>
      <c r="C9053" s="5">
        <v>41489</v>
      </c>
      <c r="D9053" s="5">
        <v>41549</v>
      </c>
      <c r="E9053" s="4" t="s">
        <v>1410</v>
      </c>
      <c r="F9053" s="4" t="s">
        <v>1411</v>
      </c>
    </row>
    <row r="9054" spans="1:6" x14ac:dyDescent="0.25">
      <c r="A9054" s="4" t="str">
        <f>CONCATENATE("3071-0000-2647","")</f>
        <v>3071-0000-2647</v>
      </c>
      <c r="B9054" s="4" t="s">
        <v>3531</v>
      </c>
      <c r="C9054" s="5">
        <v>41489</v>
      </c>
      <c r="D9054" s="5">
        <v>41549</v>
      </c>
      <c r="E9054" s="4" t="s">
        <v>2944</v>
      </c>
      <c r="F9054" s="4" t="s">
        <v>3515</v>
      </c>
    </row>
    <row r="9055" spans="1:6" x14ac:dyDescent="0.25">
      <c r="A9055" s="4" t="str">
        <f>CONCATENATE("3071-0000-9134","")</f>
        <v>3071-0000-9134</v>
      </c>
      <c r="B9055" s="4" t="s">
        <v>5324</v>
      </c>
      <c r="C9055" s="5">
        <v>41489</v>
      </c>
      <c r="D9055" s="5">
        <v>41549</v>
      </c>
      <c r="E9055" s="4" t="s">
        <v>1410</v>
      </c>
      <c r="F9055" s="4" t="s">
        <v>4616</v>
      </c>
    </row>
    <row r="9056" spans="1:6" x14ac:dyDescent="0.25">
      <c r="A9056" s="4" t="str">
        <f>CONCATENATE("3071-0000-5151","")</f>
        <v>3071-0000-5151</v>
      </c>
      <c r="B9056" s="4" t="s">
        <v>8996</v>
      </c>
      <c r="C9056" s="5">
        <v>41489</v>
      </c>
      <c r="D9056" s="5">
        <v>41549</v>
      </c>
      <c r="E9056" s="4" t="s">
        <v>1410</v>
      </c>
      <c r="F9056" s="4" t="s">
        <v>8903</v>
      </c>
    </row>
    <row r="9057" spans="1:6" x14ac:dyDescent="0.25">
      <c r="A9057" s="4" t="str">
        <f>CONCATENATE("3071-0000-8788","")</f>
        <v>3071-0000-8788</v>
      </c>
      <c r="B9057" s="4" t="s">
        <v>6591</v>
      </c>
      <c r="C9057" s="5">
        <v>41489</v>
      </c>
      <c r="D9057" s="5">
        <v>41549</v>
      </c>
      <c r="E9057" s="4" t="s">
        <v>5185</v>
      </c>
      <c r="F9057" s="4" t="s">
        <v>5292</v>
      </c>
    </row>
    <row r="9058" spans="1:6" x14ac:dyDescent="0.25">
      <c r="A9058" s="4" t="str">
        <f>CONCATENATE("3071-0000-6849","")</f>
        <v>3071-0000-6849</v>
      </c>
      <c r="B9058" s="4" t="s">
        <v>8053</v>
      </c>
      <c r="C9058" s="5">
        <v>41489</v>
      </c>
      <c r="D9058" s="5">
        <v>41549</v>
      </c>
      <c r="E9058" s="4" t="s">
        <v>1410</v>
      </c>
      <c r="F9058" s="4" t="s">
        <v>1613</v>
      </c>
    </row>
    <row r="9059" spans="1:6" x14ac:dyDescent="0.25">
      <c r="A9059" s="4" t="str">
        <f>CONCATENATE("3071-0000-5793","")</f>
        <v>3071-0000-5793</v>
      </c>
      <c r="B9059" s="4" t="s">
        <v>6980</v>
      </c>
      <c r="C9059" s="5">
        <v>41489</v>
      </c>
      <c r="D9059" s="5">
        <v>41549</v>
      </c>
      <c r="E9059" s="4" t="s">
        <v>5185</v>
      </c>
      <c r="F9059" s="4" t="s">
        <v>5185</v>
      </c>
    </row>
    <row r="9060" spans="1:6" x14ac:dyDescent="0.25">
      <c r="A9060" s="4" t="str">
        <f>CONCATENATE("3071-0000-7178","")</f>
        <v>3071-0000-7178</v>
      </c>
      <c r="B9060" s="4" t="s">
        <v>5018</v>
      </c>
      <c r="C9060" s="5">
        <v>41489</v>
      </c>
      <c r="D9060" s="5">
        <v>41549</v>
      </c>
      <c r="E9060" s="4" t="s">
        <v>1410</v>
      </c>
      <c r="F9060" s="4" t="s">
        <v>1410</v>
      </c>
    </row>
    <row r="9061" spans="1:6" x14ac:dyDescent="0.25">
      <c r="A9061" s="4" t="str">
        <f>CONCATENATE("3071-0000-0070","")</f>
        <v>3071-0000-0070</v>
      </c>
      <c r="B9061" s="4" t="s">
        <v>173</v>
      </c>
      <c r="C9061" s="5">
        <v>41489</v>
      </c>
      <c r="D9061" s="5">
        <v>41549</v>
      </c>
      <c r="E9061" s="4" t="s">
        <v>7</v>
      </c>
      <c r="F9061" s="4" t="s">
        <v>7</v>
      </c>
    </row>
    <row r="9062" spans="1:6" x14ac:dyDescent="0.25">
      <c r="A9062" s="4" t="str">
        <f>CONCATENATE("3071-0000-2195","")</f>
        <v>3071-0000-2195</v>
      </c>
      <c r="B9062" s="4" t="s">
        <v>3212</v>
      </c>
      <c r="C9062" s="5">
        <v>41489</v>
      </c>
      <c r="D9062" s="5">
        <v>41549</v>
      </c>
      <c r="E9062" s="4" t="s">
        <v>2944</v>
      </c>
      <c r="F9062" s="4" t="s">
        <v>2945</v>
      </c>
    </row>
    <row r="9063" spans="1:6" x14ac:dyDescent="0.25">
      <c r="A9063" s="4" t="str">
        <f>CONCATENATE("3071-0000-2163","")</f>
        <v>3071-0000-2163</v>
      </c>
      <c r="B9063" s="4" t="s">
        <v>3206</v>
      </c>
      <c r="C9063" s="5">
        <v>41489</v>
      </c>
      <c r="D9063" s="5">
        <v>41549</v>
      </c>
      <c r="E9063" s="4" t="s">
        <v>2944</v>
      </c>
      <c r="F9063" s="4" t="s">
        <v>2945</v>
      </c>
    </row>
    <row r="9064" spans="1:6" x14ac:dyDescent="0.25">
      <c r="A9064" s="4" t="str">
        <f>CONCATENATE("3071-0000-0355","")</f>
        <v>3071-0000-0355</v>
      </c>
      <c r="B9064" s="4" t="s">
        <v>598</v>
      </c>
      <c r="C9064" s="5">
        <v>41489</v>
      </c>
      <c r="D9064" s="5">
        <v>41549</v>
      </c>
      <c r="E9064" s="4" t="s">
        <v>7</v>
      </c>
      <c r="F9064" s="4" t="s">
        <v>7</v>
      </c>
    </row>
    <row r="9065" spans="1:6" x14ac:dyDescent="0.25">
      <c r="A9065" s="4" t="str">
        <f>CONCATENATE("3071-0000-0181","")</f>
        <v>3071-0000-0181</v>
      </c>
      <c r="B9065" s="4" t="s">
        <v>375</v>
      </c>
      <c r="C9065" s="5">
        <v>41489</v>
      </c>
      <c r="D9065" s="5">
        <v>41549</v>
      </c>
      <c r="E9065" s="4" t="s">
        <v>7</v>
      </c>
      <c r="F9065" s="4" t="s">
        <v>7</v>
      </c>
    </row>
    <row r="9066" spans="1:6" x14ac:dyDescent="0.25">
      <c r="A9066" s="4" t="str">
        <f>CONCATENATE("3071-0000-4297","")</f>
        <v>3071-0000-4297</v>
      </c>
      <c r="B9066" s="4" t="s">
        <v>8908</v>
      </c>
      <c r="C9066" s="5">
        <v>41489</v>
      </c>
      <c r="D9066" s="5">
        <v>41549</v>
      </c>
      <c r="E9066" s="4" t="s">
        <v>1410</v>
      </c>
      <c r="F9066" s="4" t="s">
        <v>8696</v>
      </c>
    </row>
    <row r="9067" spans="1:6" x14ac:dyDescent="0.25">
      <c r="A9067" s="4" t="str">
        <f>CONCATENATE("3071-0000-6935","")</f>
        <v>3071-0000-6935</v>
      </c>
      <c r="B9067" s="4" t="s">
        <v>4496</v>
      </c>
      <c r="C9067" s="5">
        <v>41489</v>
      </c>
      <c r="D9067" s="5">
        <v>41549</v>
      </c>
      <c r="E9067" s="4" t="s">
        <v>1410</v>
      </c>
      <c r="F9067" s="4" t="s">
        <v>1410</v>
      </c>
    </row>
    <row r="9068" spans="1:6" x14ac:dyDescent="0.25">
      <c r="A9068" s="4" t="str">
        <f>CONCATENATE("3071-0000-1949","")</f>
        <v>3071-0000-1949</v>
      </c>
      <c r="B9068" s="4" t="s">
        <v>3057</v>
      </c>
      <c r="C9068" s="5">
        <v>41489</v>
      </c>
      <c r="D9068" s="5">
        <v>41549</v>
      </c>
      <c r="E9068" s="4" t="s">
        <v>2944</v>
      </c>
      <c r="F9068" s="4" t="s">
        <v>2945</v>
      </c>
    </row>
    <row r="9069" spans="1:6" x14ac:dyDescent="0.25">
      <c r="A9069" s="4" t="str">
        <f>CONCATENATE("3071-0000-6743","")</f>
        <v>3071-0000-6743</v>
      </c>
      <c r="B9069" s="4" t="s">
        <v>8011</v>
      </c>
      <c r="C9069" s="5">
        <v>41489</v>
      </c>
      <c r="D9069" s="5">
        <v>41549</v>
      </c>
      <c r="E9069" s="4" t="s">
        <v>5185</v>
      </c>
      <c r="F9069" s="4" t="s">
        <v>5185</v>
      </c>
    </row>
    <row r="9070" spans="1:6" x14ac:dyDescent="0.25">
      <c r="A9070" s="4" t="str">
        <f>CONCATENATE("3071-0000-7320","")</f>
        <v>3071-0000-7320</v>
      </c>
      <c r="B9070" s="4" t="s">
        <v>4532</v>
      </c>
      <c r="C9070" s="5">
        <v>41489</v>
      </c>
      <c r="D9070" s="5">
        <v>41549</v>
      </c>
      <c r="E9070" s="4" t="s">
        <v>1410</v>
      </c>
      <c r="F9070" s="4" t="s">
        <v>1410</v>
      </c>
    </row>
    <row r="9071" spans="1:6" x14ac:dyDescent="0.25">
      <c r="A9071" s="4" t="str">
        <f>CONCATENATE("3071-0000-1449","")</f>
        <v>3071-0000-1449</v>
      </c>
      <c r="B9071" s="4" t="s">
        <v>2688</v>
      </c>
      <c r="C9071" s="5">
        <v>41489</v>
      </c>
      <c r="D9071" s="5">
        <v>41549</v>
      </c>
      <c r="E9071" s="4" t="s">
        <v>1381</v>
      </c>
      <c r="F9071" s="4" t="s">
        <v>2303</v>
      </c>
    </row>
    <row r="9072" spans="1:6" x14ac:dyDescent="0.25">
      <c r="A9072" s="4" t="str">
        <f>CONCATENATE("3071-0000-9422","")</f>
        <v>3071-0000-9422</v>
      </c>
      <c r="B9072" s="4" t="s">
        <v>8337</v>
      </c>
      <c r="C9072" s="5">
        <v>41489</v>
      </c>
      <c r="D9072" s="5">
        <v>41549</v>
      </c>
      <c r="E9072" s="4" t="s">
        <v>1410</v>
      </c>
      <c r="F9072" s="4" t="s">
        <v>7967</v>
      </c>
    </row>
    <row r="9073" spans="1:6" x14ac:dyDescent="0.25">
      <c r="A9073" s="4" t="str">
        <f>CONCATENATE("3071-0000-1615","")</f>
        <v>3071-0000-1615</v>
      </c>
      <c r="B9073" s="4" t="s">
        <v>2928</v>
      </c>
      <c r="C9073" s="5">
        <v>41489</v>
      </c>
      <c r="D9073" s="5">
        <v>41549</v>
      </c>
      <c r="E9073" s="4" t="s">
        <v>1381</v>
      </c>
      <c r="F9073" s="4" t="s">
        <v>2303</v>
      </c>
    </row>
    <row r="9074" spans="1:6" x14ac:dyDescent="0.25">
      <c r="A9074" s="4" t="str">
        <f>CONCATENATE("3071-0000-1483","")</f>
        <v>3071-0000-1483</v>
      </c>
      <c r="B9074" s="4" t="s">
        <v>2938</v>
      </c>
      <c r="C9074" s="5">
        <v>41489</v>
      </c>
      <c r="D9074" s="5">
        <v>41549</v>
      </c>
      <c r="E9074" s="4" t="s">
        <v>1381</v>
      </c>
      <c r="F9074" s="4" t="s">
        <v>2303</v>
      </c>
    </row>
    <row r="9075" spans="1:6" x14ac:dyDescent="0.25">
      <c r="A9075" s="4" t="str">
        <f>CONCATENATE("3071-0000-6708","")</f>
        <v>3071-0000-6708</v>
      </c>
      <c r="B9075" s="4" t="s">
        <v>8162</v>
      </c>
      <c r="C9075" s="5">
        <v>41489</v>
      </c>
      <c r="D9075" s="5">
        <v>41549</v>
      </c>
      <c r="E9075" s="4" t="s">
        <v>5185</v>
      </c>
      <c r="F9075" s="4" t="s">
        <v>5185</v>
      </c>
    </row>
    <row r="9076" spans="1:6" x14ac:dyDescent="0.25">
      <c r="A9076" s="4" t="str">
        <f>CONCATENATE("3071-0000-2963","")</f>
        <v>3071-0000-2963</v>
      </c>
      <c r="B9076" s="4" t="s">
        <v>871</v>
      </c>
      <c r="C9076" s="5">
        <v>41489</v>
      </c>
      <c r="D9076" s="5">
        <v>41549</v>
      </c>
      <c r="E9076" s="4" t="s">
        <v>7</v>
      </c>
      <c r="F9076" s="4" t="s">
        <v>808</v>
      </c>
    </row>
    <row r="9077" spans="1:6" x14ac:dyDescent="0.25">
      <c r="A9077" s="4" t="str">
        <f>CONCATENATE("3071-0000-0168","")</f>
        <v>3071-0000-0168</v>
      </c>
      <c r="B9077" s="4" t="s">
        <v>352</v>
      </c>
      <c r="C9077" s="5">
        <v>41489</v>
      </c>
      <c r="D9077" s="5">
        <v>41549</v>
      </c>
      <c r="E9077" s="4" t="s">
        <v>7</v>
      </c>
      <c r="F9077" s="4" t="s">
        <v>7</v>
      </c>
    </row>
    <row r="9078" spans="1:6" x14ac:dyDescent="0.25">
      <c r="A9078" s="4" t="str">
        <f>CONCATENATE("3071-0000-9229","")</f>
        <v>3071-0000-9229</v>
      </c>
      <c r="B9078" s="4" t="s">
        <v>8300</v>
      </c>
      <c r="C9078" s="5">
        <v>41489</v>
      </c>
      <c r="D9078" s="5">
        <v>41549</v>
      </c>
      <c r="E9078" s="4" t="s">
        <v>5185</v>
      </c>
      <c r="F9078" s="4" t="s">
        <v>5185</v>
      </c>
    </row>
    <row r="9079" spans="1:6" x14ac:dyDescent="0.25">
      <c r="A9079" s="4" t="str">
        <f>CONCATENATE("3071-0000-9208","")</f>
        <v>3071-0000-9208</v>
      </c>
      <c r="B9079" s="4" t="s">
        <v>8280</v>
      </c>
      <c r="C9079" s="5">
        <v>41489</v>
      </c>
      <c r="D9079" s="5">
        <v>41549</v>
      </c>
      <c r="E9079" s="4" t="s">
        <v>5185</v>
      </c>
      <c r="F9079" s="4" t="s">
        <v>5185</v>
      </c>
    </row>
    <row r="9080" spans="1:6" x14ac:dyDescent="0.25">
      <c r="A9080" s="4" t="str">
        <f>CONCATENATE("3071-0000-5257","")</f>
        <v>3071-0000-5257</v>
      </c>
      <c r="B9080" s="4" t="s">
        <v>6725</v>
      </c>
      <c r="C9080" s="5">
        <v>41489</v>
      </c>
      <c r="D9080" s="5">
        <v>41549</v>
      </c>
      <c r="E9080" s="4" t="s">
        <v>5185</v>
      </c>
      <c r="F9080" s="4" t="s">
        <v>5185</v>
      </c>
    </row>
    <row r="9081" spans="1:6" x14ac:dyDescent="0.25">
      <c r="A9081" s="4" t="str">
        <f>CONCATENATE("3071-0000-4292","")</f>
        <v>3071-0000-4292</v>
      </c>
      <c r="B9081" s="4" t="s">
        <v>8891</v>
      </c>
      <c r="C9081" s="5">
        <v>41489</v>
      </c>
      <c r="D9081" s="5">
        <v>41549</v>
      </c>
      <c r="E9081" s="4" t="s">
        <v>1410</v>
      </c>
      <c r="F9081" s="4" t="s">
        <v>8696</v>
      </c>
    </row>
    <row r="9082" spans="1:6" x14ac:dyDescent="0.25">
      <c r="A9082" s="4" t="str">
        <f>CONCATENATE("3071-0000-1908","")</f>
        <v>3071-0000-1908</v>
      </c>
      <c r="B9082" s="4" t="s">
        <v>2972</v>
      </c>
      <c r="C9082" s="5">
        <v>41489</v>
      </c>
      <c r="D9082" s="5">
        <v>41549</v>
      </c>
      <c r="E9082" s="4" t="s">
        <v>2944</v>
      </c>
      <c r="F9082" s="4" t="s">
        <v>2945</v>
      </c>
    </row>
    <row r="9083" spans="1:6" x14ac:dyDescent="0.25">
      <c r="A9083" s="4" t="str">
        <f>CONCATENATE("3071-0000-3237","")</f>
        <v>3071-0000-3237</v>
      </c>
      <c r="B9083" s="4" t="s">
        <v>1398</v>
      </c>
      <c r="C9083" s="5">
        <v>41489</v>
      </c>
      <c r="D9083" s="5">
        <v>41549</v>
      </c>
      <c r="E9083" s="4" t="s">
        <v>7</v>
      </c>
      <c r="F9083" s="4" t="s">
        <v>982</v>
      </c>
    </row>
    <row r="9084" spans="1:6" x14ac:dyDescent="0.25">
      <c r="A9084" s="4" t="str">
        <f>CONCATENATE("3071-0000-5145","")</f>
        <v>3071-0000-5145</v>
      </c>
      <c r="B9084" s="4" t="s">
        <v>8974</v>
      </c>
      <c r="C9084" s="5">
        <v>41489</v>
      </c>
      <c r="D9084" s="5">
        <v>41549</v>
      </c>
      <c r="E9084" s="4" t="s">
        <v>1410</v>
      </c>
      <c r="F9084" s="4" t="s">
        <v>8903</v>
      </c>
    </row>
    <row r="9085" spans="1:6" x14ac:dyDescent="0.25">
      <c r="A9085" s="4" t="str">
        <f>CONCATENATE("3071-0000-0008","")</f>
        <v>3071-0000-0008</v>
      </c>
      <c r="B9085" s="4" t="s">
        <v>14</v>
      </c>
      <c r="C9085" s="5">
        <v>41489</v>
      </c>
      <c r="D9085" s="5">
        <v>41549</v>
      </c>
      <c r="E9085" s="4" t="s">
        <v>7</v>
      </c>
      <c r="F9085" s="4" t="s">
        <v>7</v>
      </c>
    </row>
    <row r="9086" spans="1:6" x14ac:dyDescent="0.25">
      <c r="A9086" s="4" t="str">
        <f>CONCATENATE("3071-0000-2867","")</f>
        <v>3071-0000-2867</v>
      </c>
      <c r="B9086" s="4" t="s">
        <v>1378</v>
      </c>
      <c r="C9086" s="5">
        <v>41489</v>
      </c>
      <c r="D9086" s="5">
        <v>41549</v>
      </c>
      <c r="E9086" s="4" t="s">
        <v>7</v>
      </c>
      <c r="F9086" s="4" t="s">
        <v>808</v>
      </c>
    </row>
    <row r="9087" spans="1:6" x14ac:dyDescent="0.25">
      <c r="A9087" s="4" t="str">
        <f>CONCATENATE("3071-0000-6393","")</f>
        <v>3071-0000-6393</v>
      </c>
      <c r="B9087" s="4" t="s">
        <v>7843</v>
      </c>
      <c r="C9087" s="5">
        <v>41489</v>
      </c>
      <c r="D9087" s="5">
        <v>41549</v>
      </c>
      <c r="E9087" s="4" t="s">
        <v>5185</v>
      </c>
      <c r="F9087" s="4" t="s">
        <v>5185</v>
      </c>
    </row>
    <row r="9088" spans="1:6" x14ac:dyDescent="0.25">
      <c r="A9088" s="4" t="str">
        <f>CONCATENATE("3071-0000-2489","")</f>
        <v>3071-0000-2489</v>
      </c>
      <c r="B9088" s="4" t="s">
        <v>3635</v>
      </c>
      <c r="C9088" s="5">
        <v>41489</v>
      </c>
      <c r="D9088" s="5">
        <v>41549</v>
      </c>
      <c r="E9088" s="4" t="s">
        <v>2944</v>
      </c>
      <c r="F9088" s="4" t="s">
        <v>3567</v>
      </c>
    </row>
    <row r="9089" spans="1:6" x14ac:dyDescent="0.25">
      <c r="A9089" s="4" t="str">
        <f>CONCATENATE("3071-0000-0384","")</f>
        <v>3071-0000-0384</v>
      </c>
      <c r="B9089" s="4" t="s">
        <v>218</v>
      </c>
      <c r="C9089" s="5">
        <v>41489</v>
      </c>
      <c r="D9089" s="5">
        <v>41549</v>
      </c>
      <c r="E9089" s="4" t="s">
        <v>7</v>
      </c>
      <c r="F9089" s="4" t="s">
        <v>7</v>
      </c>
    </row>
    <row r="9090" spans="1:6" x14ac:dyDescent="0.25">
      <c r="A9090" s="4" t="str">
        <f>CONCATENATE("3071-0000-2875","")</f>
        <v>3071-0000-2875</v>
      </c>
      <c r="B9090" s="4" t="s">
        <v>1365</v>
      </c>
      <c r="C9090" s="5">
        <v>41489</v>
      </c>
      <c r="D9090" s="5">
        <v>41549</v>
      </c>
      <c r="E9090" s="4" t="s">
        <v>7</v>
      </c>
      <c r="F9090" s="4" t="s">
        <v>808</v>
      </c>
    </row>
    <row r="9091" spans="1:6" x14ac:dyDescent="0.25">
      <c r="A9091" s="4" t="str">
        <f>CONCATENATE("3071-0000-7750","")</f>
        <v>3071-0000-7750</v>
      </c>
      <c r="B9091" s="4" t="s">
        <v>4617</v>
      </c>
      <c r="C9091" s="5">
        <v>41489</v>
      </c>
      <c r="D9091" s="5">
        <v>41549</v>
      </c>
      <c r="E9091" s="4" t="s">
        <v>1410</v>
      </c>
      <c r="F9091" s="4" t="s">
        <v>1410</v>
      </c>
    </row>
    <row r="9092" spans="1:6" x14ac:dyDescent="0.25">
      <c r="A9092" s="4" t="str">
        <f>CONCATENATE("3071-0000-6421","")</f>
        <v>3071-0000-6421</v>
      </c>
      <c r="B9092" s="4" t="s">
        <v>8127</v>
      </c>
      <c r="C9092" s="5">
        <v>41489</v>
      </c>
      <c r="D9092" s="5">
        <v>41549</v>
      </c>
      <c r="E9092" s="4" t="s">
        <v>5185</v>
      </c>
      <c r="F9092" s="4" t="s">
        <v>5185</v>
      </c>
    </row>
    <row r="9093" spans="1:6" x14ac:dyDescent="0.25">
      <c r="A9093" s="4" t="str">
        <f>CONCATENATE("3071-0000-6439","")</f>
        <v>3071-0000-6439</v>
      </c>
      <c r="B9093" s="4" t="s">
        <v>8151</v>
      </c>
      <c r="C9093" s="5">
        <v>41489</v>
      </c>
      <c r="D9093" s="5">
        <v>41549</v>
      </c>
      <c r="E9093" s="4" t="s">
        <v>5185</v>
      </c>
      <c r="F9093" s="4" t="s">
        <v>5185</v>
      </c>
    </row>
    <row r="9094" spans="1:6" x14ac:dyDescent="0.25">
      <c r="A9094" s="4" t="str">
        <f>CONCATENATE("3071-0000-3070","")</f>
        <v>3071-0000-3070</v>
      </c>
      <c r="B9094" s="4" t="s">
        <v>976</v>
      </c>
      <c r="C9094" s="5">
        <v>41489</v>
      </c>
      <c r="D9094" s="5">
        <v>41549</v>
      </c>
      <c r="E9094" s="4" t="s">
        <v>7</v>
      </c>
      <c r="F9094" s="4" t="s">
        <v>808</v>
      </c>
    </row>
    <row r="9095" spans="1:6" x14ac:dyDescent="0.25">
      <c r="A9095" s="4" t="str">
        <f>CONCATENATE("3071-0000-1953","")</f>
        <v>3071-0000-1953</v>
      </c>
      <c r="B9095" s="4" t="s">
        <v>3063</v>
      </c>
      <c r="C9095" s="5">
        <v>41489</v>
      </c>
      <c r="D9095" s="5">
        <v>41549</v>
      </c>
      <c r="E9095" s="4" t="s">
        <v>2944</v>
      </c>
      <c r="F9095" s="4" t="s">
        <v>2945</v>
      </c>
    </row>
    <row r="9096" spans="1:6" x14ac:dyDescent="0.25">
      <c r="A9096" s="4" t="str">
        <f>CONCATENATE("3071-0000-5179","")</f>
        <v>3071-0000-5179</v>
      </c>
      <c r="B9096" s="4" t="s">
        <v>8977</v>
      </c>
      <c r="C9096" s="5">
        <v>41489</v>
      </c>
      <c r="D9096" s="5">
        <v>41549</v>
      </c>
      <c r="E9096" s="4" t="s">
        <v>1410</v>
      </c>
      <c r="F9096" s="4" t="s">
        <v>8903</v>
      </c>
    </row>
    <row r="9097" spans="1:6" x14ac:dyDescent="0.25">
      <c r="A9097" s="4" t="str">
        <f>CONCATENATE("3071-0000-3249","")</f>
        <v>3071-0000-3249</v>
      </c>
      <c r="B9097" s="4" t="s">
        <v>939</v>
      </c>
      <c r="C9097" s="5">
        <v>41489</v>
      </c>
      <c r="D9097" s="5">
        <v>41549</v>
      </c>
      <c r="E9097" s="4" t="s">
        <v>7</v>
      </c>
      <c r="F9097" s="4" t="s">
        <v>808</v>
      </c>
    </row>
    <row r="9098" spans="1:6" x14ac:dyDescent="0.25">
      <c r="A9098" s="4" t="str">
        <f>CONCATENATE("3071-0000-7706","")</f>
        <v>3071-0000-7706</v>
      </c>
      <c r="B9098" s="4" t="s">
        <v>5026</v>
      </c>
      <c r="C9098" s="5">
        <v>41489</v>
      </c>
      <c r="D9098" s="5">
        <v>41549</v>
      </c>
      <c r="E9098" s="4" t="s">
        <v>1410</v>
      </c>
      <c r="F9098" s="4" t="s">
        <v>4616</v>
      </c>
    </row>
    <row r="9099" spans="1:6" x14ac:dyDescent="0.25">
      <c r="A9099" s="4" t="str">
        <f>CONCATENATE("3071-0000-8805","")</f>
        <v>3071-0000-8805</v>
      </c>
      <c r="B9099" s="4" t="s">
        <v>6512</v>
      </c>
      <c r="C9099" s="5">
        <v>41489</v>
      </c>
      <c r="D9099" s="5">
        <v>41549</v>
      </c>
      <c r="E9099" s="4" t="s">
        <v>5185</v>
      </c>
      <c r="F9099" s="4" t="s">
        <v>5292</v>
      </c>
    </row>
    <row r="9100" spans="1:6" x14ac:dyDescent="0.25">
      <c r="A9100" s="4" t="str">
        <f>CONCATENATE("3071-0000-7057","")</f>
        <v>3071-0000-7057</v>
      </c>
      <c r="B9100" s="4" t="s">
        <v>4859</v>
      </c>
      <c r="C9100" s="5">
        <v>41489</v>
      </c>
      <c r="D9100" s="5">
        <v>41549</v>
      </c>
      <c r="E9100" s="4" t="s">
        <v>1410</v>
      </c>
      <c r="F9100" s="4" t="s">
        <v>1410</v>
      </c>
    </row>
    <row r="9101" spans="1:6" x14ac:dyDescent="0.25">
      <c r="A9101" s="4" t="str">
        <f>CONCATENATE("3071-0000-7132","")</f>
        <v>3071-0000-7132</v>
      </c>
      <c r="B9101" s="4" t="s">
        <v>4964</v>
      </c>
      <c r="C9101" s="5">
        <v>41489</v>
      </c>
      <c r="D9101" s="5">
        <v>41549</v>
      </c>
      <c r="E9101" s="4" t="s">
        <v>1410</v>
      </c>
      <c r="F9101" s="4" t="s">
        <v>1410</v>
      </c>
    </row>
    <row r="9102" spans="1:6" x14ac:dyDescent="0.25">
      <c r="A9102" s="4" t="str">
        <f>CONCATENATE("3071-0000-2062","")</f>
        <v>3071-0000-2062</v>
      </c>
      <c r="B9102" s="4" t="s">
        <v>3443</v>
      </c>
      <c r="C9102" s="5">
        <v>41489</v>
      </c>
      <c r="D9102" s="5">
        <v>41549</v>
      </c>
      <c r="E9102" s="4" t="s">
        <v>2944</v>
      </c>
      <c r="F9102" s="4" t="s">
        <v>2945</v>
      </c>
    </row>
    <row r="9103" spans="1:6" x14ac:dyDescent="0.25">
      <c r="A9103" s="4" t="str">
        <f>CONCATENATE("3071-0000-9304","")</f>
        <v>3071-0000-9304</v>
      </c>
      <c r="B9103" s="4" t="s">
        <v>8363</v>
      </c>
      <c r="C9103" s="5">
        <v>41489</v>
      </c>
      <c r="D9103" s="5">
        <v>41549</v>
      </c>
      <c r="E9103" s="4" t="s">
        <v>5185</v>
      </c>
      <c r="F9103" s="4" t="s">
        <v>5185</v>
      </c>
    </row>
    <row r="9104" spans="1:6" x14ac:dyDescent="0.25">
      <c r="A9104" s="4" t="str">
        <f>CONCATENATE("3071-0000-1604","")</f>
        <v>3071-0000-1604</v>
      </c>
      <c r="B9104" s="4" t="s">
        <v>2425</v>
      </c>
      <c r="C9104" s="5">
        <v>41489</v>
      </c>
      <c r="D9104" s="5">
        <v>41549</v>
      </c>
      <c r="E9104" s="4" t="s">
        <v>1381</v>
      </c>
      <c r="F9104" s="4" t="s">
        <v>2303</v>
      </c>
    </row>
    <row r="9105" spans="1:6" x14ac:dyDescent="0.25">
      <c r="A9105" s="4" t="str">
        <f>CONCATENATE("3071-0000-2087","")</f>
        <v>3071-0000-2087</v>
      </c>
      <c r="B9105" s="4" t="s">
        <v>3475</v>
      </c>
      <c r="C9105" s="5">
        <v>41489</v>
      </c>
      <c r="D9105" s="5">
        <v>41549</v>
      </c>
      <c r="E9105" s="4" t="s">
        <v>2944</v>
      </c>
      <c r="F9105" s="4" t="s">
        <v>2945</v>
      </c>
    </row>
    <row r="9106" spans="1:6" x14ac:dyDescent="0.25">
      <c r="A9106" s="4" t="str">
        <f>CONCATENATE("3071-0000-7439","")</f>
        <v>3071-0000-7439</v>
      </c>
      <c r="B9106" s="4" t="s">
        <v>4686</v>
      </c>
      <c r="C9106" s="5">
        <v>41489</v>
      </c>
      <c r="D9106" s="5">
        <v>41549</v>
      </c>
      <c r="E9106" s="4" t="s">
        <v>1410</v>
      </c>
      <c r="F9106" s="4" t="s">
        <v>4655</v>
      </c>
    </row>
    <row r="9107" spans="1:6" x14ac:dyDescent="0.25">
      <c r="A9107" s="4" t="str">
        <f>CONCATENATE("3071-0000-0015","")</f>
        <v>3071-0000-0015</v>
      </c>
      <c r="B9107" s="4" t="s">
        <v>29</v>
      </c>
      <c r="C9107" s="5">
        <v>41489</v>
      </c>
      <c r="D9107" s="5">
        <v>41549</v>
      </c>
      <c r="E9107" s="4" t="s">
        <v>7</v>
      </c>
      <c r="F9107" s="4" t="s">
        <v>7</v>
      </c>
    </row>
    <row r="9108" spans="1:6" x14ac:dyDescent="0.25">
      <c r="A9108" s="4" t="str">
        <f>CONCATENATE("3071-0000-2147","")</f>
        <v>3071-0000-2147</v>
      </c>
      <c r="B9108" s="4" t="s">
        <v>3559</v>
      </c>
      <c r="C9108" s="5">
        <v>41489</v>
      </c>
      <c r="D9108" s="5">
        <v>41549</v>
      </c>
      <c r="E9108" s="4" t="s">
        <v>2944</v>
      </c>
      <c r="F9108" s="4" t="s">
        <v>2945</v>
      </c>
    </row>
    <row r="9109" spans="1:6" x14ac:dyDescent="0.25">
      <c r="A9109" s="4" t="str">
        <f>CONCATENATE("3071-0000-6804","")</f>
        <v>3071-0000-6804</v>
      </c>
      <c r="B9109" s="4" t="s">
        <v>8143</v>
      </c>
      <c r="C9109" s="5">
        <v>41489</v>
      </c>
      <c r="D9109" s="5">
        <v>41549</v>
      </c>
      <c r="E9109" s="4" t="s">
        <v>1410</v>
      </c>
      <c r="F9109" s="4" t="s">
        <v>7967</v>
      </c>
    </row>
    <row r="9110" spans="1:6" x14ac:dyDescent="0.25">
      <c r="A9110" s="4" t="str">
        <f>CONCATENATE("3071-0000-6851","")</f>
        <v>3071-0000-6851</v>
      </c>
      <c r="B9110" s="4" t="s">
        <v>8146</v>
      </c>
      <c r="C9110" s="5">
        <v>41489</v>
      </c>
      <c r="D9110" s="5">
        <v>41549</v>
      </c>
      <c r="E9110" s="4" t="s">
        <v>1410</v>
      </c>
      <c r="F9110" s="4" t="s">
        <v>7967</v>
      </c>
    </row>
    <row r="9111" spans="1:6" x14ac:dyDescent="0.25">
      <c r="A9111" s="4" t="str">
        <f>CONCATENATE("3071-0000-9250","")</f>
        <v>3071-0000-9250</v>
      </c>
      <c r="B9111" s="4" t="s">
        <v>8354</v>
      </c>
      <c r="C9111" s="5">
        <v>41489</v>
      </c>
      <c r="D9111" s="5">
        <v>41549</v>
      </c>
      <c r="E9111" s="4" t="s">
        <v>5185</v>
      </c>
      <c r="F9111" s="4" t="s">
        <v>5185</v>
      </c>
    </row>
    <row r="9112" spans="1:6" x14ac:dyDescent="0.25">
      <c r="A9112" s="4" t="str">
        <f>CONCATENATE("3071-0000-6459","")</f>
        <v>3071-0000-6459</v>
      </c>
      <c r="B9112" s="4" t="s">
        <v>8135</v>
      </c>
      <c r="C9112" s="5">
        <v>41489</v>
      </c>
      <c r="D9112" s="5">
        <v>41549</v>
      </c>
      <c r="E9112" s="4" t="s">
        <v>5185</v>
      </c>
      <c r="F9112" s="4" t="s">
        <v>5185</v>
      </c>
    </row>
    <row r="9113" spans="1:6" x14ac:dyDescent="0.25">
      <c r="A9113" s="4" t="str">
        <f>CONCATENATE("3071-0000-7009","")</f>
        <v>3071-0000-7009</v>
      </c>
      <c r="B9113" s="4" t="s">
        <v>4651</v>
      </c>
      <c r="C9113" s="5">
        <v>41489</v>
      </c>
      <c r="D9113" s="5">
        <v>41549</v>
      </c>
      <c r="E9113" s="4" t="s">
        <v>1410</v>
      </c>
      <c r="F9113" s="4" t="s">
        <v>1410</v>
      </c>
    </row>
    <row r="9114" spans="1:6" x14ac:dyDescent="0.25">
      <c r="A9114" s="4" t="str">
        <f>CONCATENATE("3071-0000-2364","")</f>
        <v>3071-0000-2364</v>
      </c>
      <c r="B9114" s="4" t="s">
        <v>3588</v>
      </c>
      <c r="C9114" s="5">
        <v>41489</v>
      </c>
      <c r="D9114" s="5">
        <v>41549</v>
      </c>
      <c r="E9114" s="4" t="s">
        <v>2944</v>
      </c>
      <c r="F9114" s="4" t="s">
        <v>2945</v>
      </c>
    </row>
    <row r="9115" spans="1:6" x14ac:dyDescent="0.25">
      <c r="A9115" s="4" t="str">
        <f>CONCATENATE("3071-0000-9331","")</f>
        <v>3071-0000-9331</v>
      </c>
      <c r="B9115" s="4" t="s">
        <v>8279</v>
      </c>
      <c r="C9115" s="5">
        <v>41489</v>
      </c>
      <c r="D9115" s="5">
        <v>41549</v>
      </c>
      <c r="E9115" s="4" t="s">
        <v>1410</v>
      </c>
      <c r="F9115" s="4" t="s">
        <v>7967</v>
      </c>
    </row>
    <row r="9116" spans="1:6" x14ac:dyDescent="0.25">
      <c r="A9116" s="4" t="str">
        <f>CONCATENATE("3071-0000-9207","")</f>
        <v>3071-0000-9207</v>
      </c>
      <c r="B9116" s="4" t="s">
        <v>8281</v>
      </c>
      <c r="C9116" s="5">
        <v>41489</v>
      </c>
      <c r="D9116" s="5">
        <v>41549</v>
      </c>
      <c r="E9116" s="4" t="s">
        <v>5185</v>
      </c>
      <c r="F9116" s="4" t="s">
        <v>5185</v>
      </c>
    </row>
    <row r="9117" spans="1:6" x14ac:dyDescent="0.25">
      <c r="A9117" s="4" t="str">
        <f>CONCATENATE("3071-0000-6624","")</f>
        <v>3071-0000-6624</v>
      </c>
      <c r="B9117" s="4" t="s">
        <v>8217</v>
      </c>
      <c r="C9117" s="5">
        <v>41489</v>
      </c>
      <c r="D9117" s="5">
        <v>41549</v>
      </c>
      <c r="E9117" s="4" t="s">
        <v>5185</v>
      </c>
      <c r="F9117" s="4" t="s">
        <v>5185</v>
      </c>
    </row>
    <row r="9118" spans="1:6" x14ac:dyDescent="0.25">
      <c r="A9118" s="4" t="str">
        <f>CONCATENATE("3071-0000-7600","")</f>
        <v>3071-0000-7600</v>
      </c>
      <c r="B9118" s="4" t="s">
        <v>4331</v>
      </c>
      <c r="C9118" s="5">
        <v>41489</v>
      </c>
      <c r="D9118" s="5">
        <v>41549</v>
      </c>
      <c r="E9118" s="4" t="s">
        <v>1410</v>
      </c>
      <c r="F9118" s="4" t="s">
        <v>1410</v>
      </c>
    </row>
    <row r="9119" spans="1:6" x14ac:dyDescent="0.25">
      <c r="A9119" s="4" t="str">
        <f>CONCATENATE("3071-0000-4240","")</f>
        <v>3071-0000-4240</v>
      </c>
      <c r="B9119" s="4" t="s">
        <v>8704</v>
      </c>
      <c r="C9119" s="5">
        <v>41489</v>
      </c>
      <c r="D9119" s="5">
        <v>41549</v>
      </c>
      <c r="E9119" s="4" t="s">
        <v>1410</v>
      </c>
      <c r="F9119" s="4" t="s">
        <v>8696</v>
      </c>
    </row>
    <row r="9120" spans="1:6" x14ac:dyDescent="0.25">
      <c r="A9120" s="4" t="str">
        <f>CONCATENATE("3071-0000-7509","")</f>
        <v>3071-0000-7509</v>
      </c>
      <c r="B9120" s="4" t="s">
        <v>4693</v>
      </c>
      <c r="C9120" s="5">
        <v>41489</v>
      </c>
      <c r="D9120" s="5">
        <v>41549</v>
      </c>
      <c r="E9120" s="4" t="s">
        <v>1410</v>
      </c>
      <c r="F9120" s="4" t="s">
        <v>4655</v>
      </c>
    </row>
    <row r="9121" spans="1:6" x14ac:dyDescent="0.25">
      <c r="A9121" s="4" t="str">
        <f>CONCATENATE("3071-0000-7582","")</f>
        <v>3071-0000-7582</v>
      </c>
      <c r="B9121" s="4" t="s">
        <v>4372</v>
      </c>
      <c r="C9121" s="5">
        <v>41489</v>
      </c>
      <c r="D9121" s="5">
        <v>41549</v>
      </c>
      <c r="E9121" s="4" t="s">
        <v>1410</v>
      </c>
      <c r="F9121" s="4" t="s">
        <v>1410</v>
      </c>
    </row>
    <row r="9122" spans="1:6" x14ac:dyDescent="0.25">
      <c r="A9122" s="4" t="str">
        <f>CONCATENATE("3071-0000-7664","")</f>
        <v>3071-0000-7664</v>
      </c>
      <c r="B9122" s="4" t="s">
        <v>4704</v>
      </c>
      <c r="C9122" s="5">
        <v>41489</v>
      </c>
      <c r="D9122" s="5">
        <v>41549</v>
      </c>
      <c r="E9122" s="4" t="s">
        <v>1410</v>
      </c>
      <c r="F9122" s="4" t="s">
        <v>4655</v>
      </c>
    </row>
    <row r="9123" spans="1:6" x14ac:dyDescent="0.25">
      <c r="A9123" s="4" t="str">
        <f>CONCATENATE("3071-0000-0525","")</f>
        <v>3071-0000-0525</v>
      </c>
      <c r="B9123" s="4" t="s">
        <v>651</v>
      </c>
      <c r="C9123" s="5">
        <v>41489</v>
      </c>
      <c r="D9123" s="5">
        <v>41549</v>
      </c>
      <c r="E9123" s="4" t="s">
        <v>7</v>
      </c>
      <c r="F9123" s="4" t="s">
        <v>7</v>
      </c>
    </row>
    <row r="9124" spans="1:6" x14ac:dyDescent="0.25">
      <c r="A9124" s="4" t="str">
        <f>CONCATENATE("3071-0000-3128","")</f>
        <v>3071-0000-3128</v>
      </c>
      <c r="B9124" s="4" t="s">
        <v>1013</v>
      </c>
      <c r="C9124" s="5">
        <v>41489</v>
      </c>
      <c r="D9124" s="5">
        <v>41549</v>
      </c>
      <c r="E9124" s="4" t="s">
        <v>7</v>
      </c>
      <c r="F9124" s="4" t="s">
        <v>808</v>
      </c>
    </row>
    <row r="9125" spans="1:6" x14ac:dyDescent="0.25">
      <c r="A9125" s="4" t="str">
        <f>CONCATENATE("3071-0000-6527","")</f>
        <v>3071-0000-6527</v>
      </c>
      <c r="B9125" s="4" t="s">
        <v>7951</v>
      </c>
      <c r="C9125" s="5">
        <v>41489</v>
      </c>
      <c r="D9125" s="5">
        <v>41549</v>
      </c>
      <c r="E9125" s="4" t="s">
        <v>5185</v>
      </c>
      <c r="F9125" s="4" t="s">
        <v>5185</v>
      </c>
    </row>
    <row r="9126" spans="1:6" x14ac:dyDescent="0.25">
      <c r="A9126" s="4" t="str">
        <f>CONCATENATE("3071-0000-3679","")</f>
        <v>3071-0000-3679</v>
      </c>
      <c r="B9126" s="4" t="s">
        <v>1423</v>
      </c>
      <c r="C9126" s="5">
        <v>41489</v>
      </c>
      <c r="D9126" s="5">
        <v>41549</v>
      </c>
      <c r="E9126" s="4" t="s">
        <v>7</v>
      </c>
      <c r="F9126" s="4" t="s">
        <v>1419</v>
      </c>
    </row>
    <row r="9127" spans="1:6" x14ac:dyDescent="0.25">
      <c r="A9127" s="4" t="str">
        <f>CONCATENATE("3071-0000-6774","")</f>
        <v>3071-0000-6774</v>
      </c>
      <c r="B9127" s="4" t="s">
        <v>7918</v>
      </c>
      <c r="C9127" s="5">
        <v>41489</v>
      </c>
      <c r="D9127" s="5">
        <v>41549</v>
      </c>
      <c r="E9127" s="4" t="s">
        <v>1410</v>
      </c>
      <c r="F9127" s="4" t="s">
        <v>4655</v>
      </c>
    </row>
    <row r="9128" spans="1:6" x14ac:dyDescent="0.25">
      <c r="A9128" s="4" t="str">
        <f>CONCATENATE("3071-0000-1954","")</f>
        <v>3071-0000-1954</v>
      </c>
      <c r="B9128" s="4" t="s">
        <v>3065</v>
      </c>
      <c r="C9128" s="5">
        <v>41489</v>
      </c>
      <c r="D9128" s="5">
        <v>41549</v>
      </c>
      <c r="E9128" s="4" t="s">
        <v>2944</v>
      </c>
      <c r="F9128" s="4" t="s">
        <v>2945</v>
      </c>
    </row>
    <row r="9129" spans="1:6" x14ac:dyDescent="0.25">
      <c r="A9129" s="4" t="str">
        <f>CONCATENATE("3071-0000-3175","")</f>
        <v>3071-0000-3175</v>
      </c>
      <c r="B9129" s="4" t="s">
        <v>1279</v>
      </c>
      <c r="C9129" s="5">
        <v>41489</v>
      </c>
      <c r="D9129" s="5">
        <v>41549</v>
      </c>
      <c r="E9129" s="4" t="s">
        <v>7</v>
      </c>
      <c r="F9129" s="4" t="s">
        <v>808</v>
      </c>
    </row>
    <row r="9130" spans="1:6" x14ac:dyDescent="0.25">
      <c r="A9130" s="4" t="str">
        <f>CONCATENATE("3071-0000-3177","")</f>
        <v>3071-0000-3177</v>
      </c>
      <c r="B9130" s="4" t="s">
        <v>1281</v>
      </c>
      <c r="C9130" s="5">
        <v>41489</v>
      </c>
      <c r="D9130" s="5">
        <v>41549</v>
      </c>
      <c r="E9130" s="4" t="s">
        <v>7</v>
      </c>
      <c r="F9130" s="4" t="s">
        <v>808</v>
      </c>
    </row>
    <row r="9131" spans="1:6" x14ac:dyDescent="0.25">
      <c r="A9131" s="4" t="str">
        <f>CONCATENATE("3071-0000-3151","")</f>
        <v>3071-0000-3151</v>
      </c>
      <c r="B9131" s="4" t="s">
        <v>1250</v>
      </c>
      <c r="C9131" s="5">
        <v>41489</v>
      </c>
      <c r="D9131" s="5">
        <v>41549</v>
      </c>
      <c r="E9131" s="4" t="s">
        <v>7</v>
      </c>
      <c r="F9131" s="4" t="s">
        <v>808</v>
      </c>
    </row>
    <row r="9132" spans="1:6" x14ac:dyDescent="0.25">
      <c r="A9132" s="4" t="str">
        <f>CONCATENATE("3071-0000-2903","")</f>
        <v>3071-0000-2903</v>
      </c>
      <c r="B9132" s="4" t="s">
        <v>1062</v>
      </c>
      <c r="C9132" s="5">
        <v>41489</v>
      </c>
      <c r="D9132" s="5">
        <v>41549</v>
      </c>
      <c r="E9132" s="4" t="s">
        <v>7</v>
      </c>
      <c r="F9132" s="4" t="s">
        <v>808</v>
      </c>
    </row>
    <row r="9133" spans="1:6" x14ac:dyDescent="0.25">
      <c r="A9133" s="4" t="str">
        <f>CONCATENATE("3071-0000-2616","")</f>
        <v>3071-0000-2616</v>
      </c>
      <c r="B9133" s="4" t="s">
        <v>3554</v>
      </c>
      <c r="C9133" s="5">
        <v>41489</v>
      </c>
      <c r="D9133" s="5">
        <v>41549</v>
      </c>
      <c r="E9133" s="4" t="s">
        <v>2944</v>
      </c>
      <c r="F9133" s="4" t="s">
        <v>3515</v>
      </c>
    </row>
    <row r="9134" spans="1:6" x14ac:dyDescent="0.25">
      <c r="A9134" s="4" t="str">
        <f>CONCATENATE("3071-0000-2541","")</f>
        <v>3071-0000-2541</v>
      </c>
      <c r="B9134" s="4" t="s">
        <v>3528</v>
      </c>
      <c r="C9134" s="5">
        <v>41489</v>
      </c>
      <c r="D9134" s="5">
        <v>41549</v>
      </c>
      <c r="E9134" s="4" t="s">
        <v>2944</v>
      </c>
      <c r="F9134" s="4" t="s">
        <v>3515</v>
      </c>
    </row>
    <row r="9135" spans="1:6" x14ac:dyDescent="0.25">
      <c r="A9135" s="4" t="str">
        <f>CONCATENATE("3071-0000-9336","")</f>
        <v>3071-0000-9336</v>
      </c>
      <c r="B9135" s="4" t="s">
        <v>8388</v>
      </c>
      <c r="C9135" s="5">
        <v>41489</v>
      </c>
      <c r="D9135" s="5">
        <v>41549</v>
      </c>
      <c r="E9135" s="4" t="s">
        <v>1410</v>
      </c>
      <c r="F9135" s="4" t="s">
        <v>7967</v>
      </c>
    </row>
    <row r="9136" spans="1:6" x14ac:dyDescent="0.25">
      <c r="A9136" s="4" t="str">
        <f>CONCATENATE("3071-0000-8837","")</f>
        <v>3071-0000-8837</v>
      </c>
      <c r="B9136" s="4" t="s">
        <v>6426</v>
      </c>
      <c r="C9136" s="5">
        <v>41489</v>
      </c>
      <c r="D9136" s="5">
        <v>41549</v>
      </c>
      <c r="E9136" s="4" t="s">
        <v>5185</v>
      </c>
      <c r="F9136" s="4" t="s">
        <v>5292</v>
      </c>
    </row>
    <row r="9137" spans="1:6" x14ac:dyDescent="0.25">
      <c r="A9137" s="4" t="str">
        <f>CONCATENATE("3071-0000-8165","")</f>
        <v>3071-0000-8165</v>
      </c>
      <c r="B9137" s="4" t="s">
        <v>5234</v>
      </c>
      <c r="C9137" s="5">
        <v>41489</v>
      </c>
      <c r="D9137" s="5">
        <v>41549</v>
      </c>
      <c r="E9137" s="4" t="s">
        <v>5185</v>
      </c>
      <c r="F9137" s="4" t="s">
        <v>5185</v>
      </c>
    </row>
    <row r="9138" spans="1:6" x14ac:dyDescent="0.25">
      <c r="A9138" s="4" t="str">
        <f>CONCATENATE("3071-0000-2066","")</f>
        <v>3071-0000-2066</v>
      </c>
      <c r="B9138" s="4" t="s">
        <v>3440</v>
      </c>
      <c r="C9138" s="5">
        <v>41489</v>
      </c>
      <c r="D9138" s="5">
        <v>41549</v>
      </c>
      <c r="E9138" s="4" t="s">
        <v>2944</v>
      </c>
      <c r="F9138" s="4" t="s">
        <v>2945</v>
      </c>
    </row>
    <row r="9139" spans="1:6" x14ac:dyDescent="0.25">
      <c r="A9139" s="4" t="str">
        <f>CONCATENATE("3071-0000-2469","")</f>
        <v>3071-0000-2469</v>
      </c>
      <c r="B9139" s="4" t="s">
        <v>3759</v>
      </c>
      <c r="C9139" s="5">
        <v>41489</v>
      </c>
      <c r="D9139" s="5">
        <v>41549</v>
      </c>
      <c r="E9139" s="4" t="s">
        <v>2944</v>
      </c>
      <c r="F9139" s="4" t="s">
        <v>3115</v>
      </c>
    </row>
    <row r="9140" spans="1:6" x14ac:dyDescent="0.25">
      <c r="A9140" s="4" t="str">
        <f>CONCATENATE("3071-0000-6397","")</f>
        <v>3071-0000-6397</v>
      </c>
      <c r="B9140" s="4" t="s">
        <v>7833</v>
      </c>
      <c r="C9140" s="5">
        <v>41489</v>
      </c>
      <c r="D9140" s="5">
        <v>41549</v>
      </c>
      <c r="E9140" s="4" t="s">
        <v>5185</v>
      </c>
      <c r="F9140" s="4" t="s">
        <v>5185</v>
      </c>
    </row>
    <row r="9141" spans="1:6" x14ac:dyDescent="0.25">
      <c r="A9141" s="4" t="str">
        <f>CONCATENATE("3071-0000-5147","")</f>
        <v>3071-0000-5147</v>
      </c>
      <c r="B9141" s="4" t="s">
        <v>8988</v>
      </c>
      <c r="C9141" s="5">
        <v>41489</v>
      </c>
      <c r="D9141" s="5">
        <v>41549</v>
      </c>
      <c r="E9141" s="4" t="s">
        <v>1410</v>
      </c>
      <c r="F9141" s="4" t="s">
        <v>8903</v>
      </c>
    </row>
    <row r="9142" spans="1:6" x14ac:dyDescent="0.25">
      <c r="A9142" s="4" t="str">
        <f>CONCATENATE("3071-0000-9335","")</f>
        <v>3071-0000-9335</v>
      </c>
      <c r="B9142" s="4" t="s">
        <v>8389</v>
      </c>
      <c r="C9142" s="5">
        <v>41489</v>
      </c>
      <c r="D9142" s="5">
        <v>41549</v>
      </c>
      <c r="E9142" s="4" t="s">
        <v>1410</v>
      </c>
      <c r="F9142" s="4" t="s">
        <v>7967</v>
      </c>
    </row>
    <row r="9143" spans="1:6" x14ac:dyDescent="0.25">
      <c r="A9143" s="4" t="str">
        <f>CONCATENATE("3071-0000-0063","")</f>
        <v>3071-0000-0063</v>
      </c>
      <c r="B9143" s="4" t="s">
        <v>124</v>
      </c>
      <c r="C9143" s="5">
        <v>41489</v>
      </c>
      <c r="D9143" s="5">
        <v>41549</v>
      </c>
      <c r="E9143" s="4" t="s">
        <v>7</v>
      </c>
      <c r="F9143" s="4" t="s">
        <v>7</v>
      </c>
    </row>
    <row r="9144" spans="1:6" x14ac:dyDescent="0.25">
      <c r="A9144" s="4" t="str">
        <f>CONCATENATE("3071-0000-7686","")</f>
        <v>3071-0000-7686</v>
      </c>
      <c r="B9144" s="4" t="s">
        <v>4830</v>
      </c>
      <c r="C9144" s="5">
        <v>41489</v>
      </c>
      <c r="D9144" s="5">
        <v>41549</v>
      </c>
      <c r="E9144" s="4" t="s">
        <v>1410</v>
      </c>
      <c r="F9144" s="4" t="s">
        <v>4655</v>
      </c>
    </row>
    <row r="9145" spans="1:6" x14ac:dyDescent="0.25">
      <c r="A9145" s="4" t="str">
        <f>CONCATENATE("3071-0000-9288","")</f>
        <v>3071-0000-9288</v>
      </c>
      <c r="B9145" s="4" t="s">
        <v>8385</v>
      </c>
      <c r="C9145" s="5">
        <v>41489</v>
      </c>
      <c r="D9145" s="5">
        <v>41549</v>
      </c>
      <c r="E9145" s="4" t="s">
        <v>5185</v>
      </c>
      <c r="F9145" s="4" t="s">
        <v>5185</v>
      </c>
    </row>
    <row r="9146" spans="1:6" x14ac:dyDescent="0.25">
      <c r="A9146" s="4" t="str">
        <f>CONCATENATE("3071-0000-3476","")</f>
        <v>3071-0000-3476</v>
      </c>
      <c r="B9146" s="4" t="s">
        <v>1768</v>
      </c>
      <c r="C9146" s="5">
        <v>41489</v>
      </c>
      <c r="D9146" s="5">
        <v>41549</v>
      </c>
      <c r="E9146" s="4" t="s">
        <v>1410</v>
      </c>
      <c r="F9146" s="4" t="s">
        <v>1411</v>
      </c>
    </row>
    <row r="9147" spans="1:6" x14ac:dyDescent="0.25">
      <c r="A9147" s="4" t="str">
        <f>CONCATENATE("3071-0000-1884","")</f>
        <v>3071-0000-1884</v>
      </c>
      <c r="B9147" s="4" t="s">
        <v>2953</v>
      </c>
      <c r="C9147" s="5">
        <v>41489</v>
      </c>
      <c r="D9147" s="5">
        <v>41549</v>
      </c>
      <c r="E9147" s="4" t="s">
        <v>2944</v>
      </c>
      <c r="F9147" s="4" t="s">
        <v>2945</v>
      </c>
    </row>
    <row r="9148" spans="1:6" x14ac:dyDescent="0.25">
      <c r="A9148" s="4" t="str">
        <f>CONCATENATE("3071-0000-6341","")</f>
        <v>3071-0000-6341</v>
      </c>
      <c r="B9148" s="4" t="s">
        <v>7855</v>
      </c>
      <c r="C9148" s="5">
        <v>41489</v>
      </c>
      <c r="D9148" s="5">
        <v>41549</v>
      </c>
      <c r="E9148" s="4" t="s">
        <v>5185</v>
      </c>
      <c r="F9148" s="4" t="s">
        <v>5185</v>
      </c>
    </row>
    <row r="9149" spans="1:6" x14ac:dyDescent="0.25">
      <c r="A9149" s="4" t="str">
        <f>CONCATENATE("3071-0000-6526","")</f>
        <v>3071-0000-6526</v>
      </c>
      <c r="B9149" s="4" t="s">
        <v>7950</v>
      </c>
      <c r="C9149" s="5">
        <v>41489</v>
      </c>
      <c r="D9149" s="5">
        <v>41549</v>
      </c>
      <c r="E9149" s="4" t="s">
        <v>5185</v>
      </c>
      <c r="F9149" s="4" t="s">
        <v>5185</v>
      </c>
    </row>
    <row r="9150" spans="1:6" x14ac:dyDescent="0.25">
      <c r="A9150" s="4" t="str">
        <f>CONCATENATE("3071-0000-6339","")</f>
        <v>3071-0000-6339</v>
      </c>
      <c r="B9150" s="4" t="s">
        <v>7850</v>
      </c>
      <c r="C9150" s="5">
        <v>41489</v>
      </c>
      <c r="D9150" s="5">
        <v>41549</v>
      </c>
      <c r="E9150" s="4" t="s">
        <v>5185</v>
      </c>
      <c r="F9150" s="4" t="s">
        <v>5185</v>
      </c>
    </row>
    <row r="9151" spans="1:6" x14ac:dyDescent="0.25">
      <c r="A9151" s="4" t="str">
        <f>CONCATENATE("3071-0000-8854","")</f>
        <v>3071-0000-8854</v>
      </c>
      <c r="B9151" s="4" t="s">
        <v>6363</v>
      </c>
      <c r="C9151" s="5">
        <v>41489</v>
      </c>
      <c r="D9151" s="5">
        <v>41549</v>
      </c>
      <c r="E9151" s="4" t="s">
        <v>5185</v>
      </c>
      <c r="F9151" s="4" t="s">
        <v>5292</v>
      </c>
    </row>
    <row r="9152" spans="1:6" x14ac:dyDescent="0.25">
      <c r="A9152" s="4" t="str">
        <f>CONCATENATE("3071-0000-2263","")</f>
        <v>3071-0000-2263</v>
      </c>
      <c r="B9152" s="4" t="s">
        <v>3494</v>
      </c>
      <c r="C9152" s="5">
        <v>41489</v>
      </c>
      <c r="D9152" s="5">
        <v>41549</v>
      </c>
      <c r="E9152" s="4" t="s">
        <v>2944</v>
      </c>
      <c r="F9152" s="4" t="s">
        <v>2945</v>
      </c>
    </row>
    <row r="9153" spans="1:6" x14ac:dyDescent="0.25">
      <c r="A9153" s="4" t="str">
        <f>CONCATENATE("3071-0000-4120","")</f>
        <v>3071-0000-4120</v>
      </c>
      <c r="B9153" s="4" t="s">
        <v>4144</v>
      </c>
      <c r="C9153" s="5">
        <v>41489</v>
      </c>
      <c r="D9153" s="5">
        <v>41549</v>
      </c>
      <c r="E9153" s="4" t="s">
        <v>7</v>
      </c>
      <c r="F9153" s="4" t="s">
        <v>1419</v>
      </c>
    </row>
    <row r="9154" spans="1:6" x14ac:dyDescent="0.25">
      <c r="A9154" s="4" t="str">
        <f>CONCATENATE("3071-0000-6437","")</f>
        <v>3071-0000-6437</v>
      </c>
      <c r="B9154" s="4" t="s">
        <v>8147</v>
      </c>
      <c r="C9154" s="5">
        <v>41489</v>
      </c>
      <c r="D9154" s="5">
        <v>41549</v>
      </c>
      <c r="E9154" s="4" t="s">
        <v>5185</v>
      </c>
      <c r="F9154" s="4" t="s">
        <v>5185</v>
      </c>
    </row>
    <row r="9155" spans="1:6" x14ac:dyDescent="0.25">
      <c r="A9155" s="4" t="str">
        <f>CONCATENATE("3071-0000-6496","")</f>
        <v>3071-0000-6496</v>
      </c>
      <c r="B9155" s="4" t="s">
        <v>7773</v>
      </c>
      <c r="C9155" s="5">
        <v>41489</v>
      </c>
      <c r="D9155" s="5">
        <v>41549</v>
      </c>
      <c r="E9155" s="4" t="s">
        <v>5185</v>
      </c>
      <c r="F9155" s="4" t="s">
        <v>5185</v>
      </c>
    </row>
    <row r="9156" spans="1:6" x14ac:dyDescent="0.25">
      <c r="A9156" s="4" t="str">
        <f>CONCATENATE("3071-0000-6953","")</f>
        <v>3071-0000-6953</v>
      </c>
      <c r="B9156" s="4" t="s">
        <v>4308</v>
      </c>
      <c r="C9156" s="5">
        <v>41489</v>
      </c>
      <c r="D9156" s="5">
        <v>41549</v>
      </c>
      <c r="E9156" s="4" t="s">
        <v>1410</v>
      </c>
      <c r="F9156" s="4" t="s">
        <v>1410</v>
      </c>
    </row>
    <row r="9157" spans="1:6" x14ac:dyDescent="0.25">
      <c r="A9157" s="4" t="str">
        <f>CONCATENATE("3071-0000-3405","")</f>
        <v>3071-0000-3405</v>
      </c>
      <c r="B9157" s="4" t="s">
        <v>1567</v>
      </c>
      <c r="C9157" s="5">
        <v>41489</v>
      </c>
      <c r="D9157" s="5">
        <v>41549</v>
      </c>
      <c r="E9157" s="4" t="s">
        <v>1410</v>
      </c>
      <c r="F9157" s="4" t="s">
        <v>1411</v>
      </c>
    </row>
    <row r="9158" spans="1:6" x14ac:dyDescent="0.25">
      <c r="A9158" s="4" t="str">
        <f>CONCATENATE("3071-0000-8096","")</f>
        <v>3071-0000-8096</v>
      </c>
      <c r="B9158" s="4" t="s">
        <v>5878</v>
      </c>
      <c r="C9158" s="5">
        <v>41489</v>
      </c>
      <c r="D9158" s="5">
        <v>41549</v>
      </c>
      <c r="E9158" s="4" t="s">
        <v>5185</v>
      </c>
      <c r="F9158" s="4" t="s">
        <v>5185</v>
      </c>
    </row>
    <row r="9159" spans="1:6" x14ac:dyDescent="0.25">
      <c r="A9159" s="4" t="str">
        <f>CONCATENATE("3071-0000-4813","")</f>
        <v>3071-0000-4813</v>
      </c>
      <c r="B9159" s="4" t="s">
        <v>9583</v>
      </c>
      <c r="C9159" s="5">
        <v>41489</v>
      </c>
      <c r="D9159" s="5">
        <v>41549</v>
      </c>
      <c r="E9159" s="4" t="s">
        <v>1410</v>
      </c>
      <c r="F9159" s="4" t="s">
        <v>8696</v>
      </c>
    </row>
    <row r="9160" spans="1:6" x14ac:dyDescent="0.25">
      <c r="A9160" s="4" t="str">
        <f>CONCATENATE("3071-0000-9601","")</f>
        <v>3071-0000-9601</v>
      </c>
      <c r="B9160" s="4" t="s">
        <v>8667</v>
      </c>
      <c r="C9160" s="5">
        <v>41489</v>
      </c>
      <c r="D9160" s="5">
        <v>41549</v>
      </c>
      <c r="E9160" s="4" t="s">
        <v>1410</v>
      </c>
      <c r="F9160" s="4" t="s">
        <v>4459</v>
      </c>
    </row>
    <row r="9161" spans="1:6" x14ac:dyDescent="0.25">
      <c r="A9161" s="4" t="str">
        <f>CONCATENATE("3071-0000-0980","")</f>
        <v>3071-0000-0980</v>
      </c>
      <c r="B9161" s="4" t="s">
        <v>2127</v>
      </c>
      <c r="C9161" s="5">
        <v>41489</v>
      </c>
      <c r="D9161" s="5">
        <v>41549</v>
      </c>
      <c r="E9161" s="4" t="s">
        <v>1857</v>
      </c>
      <c r="F9161" s="4" t="s">
        <v>1857</v>
      </c>
    </row>
    <row r="9162" spans="1:6" x14ac:dyDescent="0.25">
      <c r="A9162" s="4" t="str">
        <f>CONCATENATE("3071-0000-8494","")</f>
        <v>3071-0000-8494</v>
      </c>
      <c r="B9162" s="4" t="s">
        <v>6147</v>
      </c>
      <c r="C9162" s="5">
        <v>41489</v>
      </c>
      <c r="D9162" s="5">
        <v>41549</v>
      </c>
      <c r="E9162" s="4" t="s">
        <v>5185</v>
      </c>
      <c r="F9162" s="4" t="s">
        <v>5945</v>
      </c>
    </row>
    <row r="9163" spans="1:6" x14ac:dyDescent="0.25">
      <c r="A9163" s="4" t="str">
        <f>CONCATENATE("3071-0000-0640","")</f>
        <v>3071-0000-0640</v>
      </c>
      <c r="B9163" s="4" t="s">
        <v>9</v>
      </c>
      <c r="C9163" s="5">
        <v>41489</v>
      </c>
      <c r="D9163" s="5">
        <v>41549</v>
      </c>
      <c r="E9163" s="4" t="s">
        <v>7</v>
      </c>
      <c r="F9163" s="4" t="s">
        <v>7</v>
      </c>
    </row>
    <row r="9164" spans="1:6" x14ac:dyDescent="0.25">
      <c r="A9164" s="4" t="str">
        <f>CONCATENATE("3071-0000-9477","")</f>
        <v>3071-0000-9477</v>
      </c>
      <c r="B9164" s="4" t="s">
        <v>8561</v>
      </c>
      <c r="C9164" s="5">
        <v>41489</v>
      </c>
      <c r="D9164" s="5">
        <v>41549</v>
      </c>
      <c r="E9164" s="4" t="s">
        <v>1410</v>
      </c>
      <c r="F9164" s="4" t="s">
        <v>4459</v>
      </c>
    </row>
    <row r="9165" spans="1:6" x14ac:dyDescent="0.25">
      <c r="A9165" s="4" t="str">
        <f>CONCATENATE("3071-0000-9501","")</f>
        <v>3071-0000-9501</v>
      </c>
      <c r="B9165" s="4" t="s">
        <v>8587</v>
      </c>
      <c r="C9165" s="5">
        <v>41489</v>
      </c>
      <c r="D9165" s="5">
        <v>41549</v>
      </c>
      <c r="E9165" s="4" t="s">
        <v>1410</v>
      </c>
      <c r="F9165" s="4" t="s">
        <v>4459</v>
      </c>
    </row>
    <row r="9166" spans="1:6" x14ac:dyDescent="0.25">
      <c r="A9166" s="4" t="str">
        <f>CONCATENATE("3071-0000-8498","")</f>
        <v>3071-0000-8498</v>
      </c>
      <c r="B9166" s="4" t="s">
        <v>6143</v>
      </c>
      <c r="C9166" s="5">
        <v>41489</v>
      </c>
      <c r="D9166" s="5">
        <v>41549</v>
      </c>
      <c r="E9166" s="4" t="s">
        <v>5185</v>
      </c>
      <c r="F9166" s="4" t="s">
        <v>5945</v>
      </c>
    </row>
    <row r="9167" spans="1:6" x14ac:dyDescent="0.25">
      <c r="A9167" s="4" t="str">
        <f>CONCATENATE("3071-0000-9428","")</f>
        <v>3071-0000-9428</v>
      </c>
      <c r="B9167" s="4" t="s">
        <v>8408</v>
      </c>
      <c r="C9167" s="5">
        <v>41489</v>
      </c>
      <c r="D9167" s="5">
        <v>41549</v>
      </c>
      <c r="E9167" s="4" t="s">
        <v>1410</v>
      </c>
      <c r="F9167" s="4" t="s">
        <v>7967</v>
      </c>
    </row>
    <row r="9168" spans="1:6" x14ac:dyDescent="0.25">
      <c r="A9168" s="4" t="str">
        <f>CONCATENATE("3071-0000-4567","")</f>
        <v>3071-0000-4567</v>
      </c>
      <c r="B9168" s="4" t="s">
        <v>9576</v>
      </c>
      <c r="C9168" s="5">
        <v>41489</v>
      </c>
      <c r="D9168" s="5">
        <v>41549</v>
      </c>
      <c r="E9168" s="4" t="s">
        <v>1410</v>
      </c>
      <c r="F9168" s="4" t="s">
        <v>8696</v>
      </c>
    </row>
    <row r="9169" spans="1:6" x14ac:dyDescent="0.25">
      <c r="A9169" s="4" t="str">
        <f>CONCATENATE("3071-0000-9353","")</f>
        <v>3071-0000-9353</v>
      </c>
      <c r="B9169" s="4" t="s">
        <v>8468</v>
      </c>
      <c r="C9169" s="5">
        <v>41489</v>
      </c>
      <c r="D9169" s="5">
        <v>41549</v>
      </c>
      <c r="E9169" s="4" t="s">
        <v>1410</v>
      </c>
      <c r="F9169" s="4" t="s">
        <v>4459</v>
      </c>
    </row>
    <row r="9170" spans="1:6" x14ac:dyDescent="0.25">
      <c r="A9170" s="4" t="str">
        <f>CONCATENATE("3071-0000-7459","")</f>
        <v>3071-0000-7459</v>
      </c>
      <c r="B9170" s="4" t="s">
        <v>4868</v>
      </c>
      <c r="C9170" s="5">
        <v>41489</v>
      </c>
      <c r="D9170" s="5">
        <v>41549</v>
      </c>
      <c r="E9170" s="4" t="s">
        <v>1410</v>
      </c>
      <c r="F9170" s="4" t="s">
        <v>4655</v>
      </c>
    </row>
    <row r="9171" spans="1:6" x14ac:dyDescent="0.25">
      <c r="A9171" s="4" t="str">
        <f>CONCATENATE("3071-0000-3767","")</f>
        <v>3071-0000-3767</v>
      </c>
      <c r="B9171" s="4" t="s">
        <v>1612</v>
      </c>
      <c r="C9171" s="5">
        <v>41489</v>
      </c>
      <c r="D9171" s="5">
        <v>41549</v>
      </c>
      <c r="E9171" s="4" t="s">
        <v>1410</v>
      </c>
      <c r="F9171" s="4" t="s">
        <v>1613</v>
      </c>
    </row>
    <row r="9172" spans="1:6" x14ac:dyDescent="0.25">
      <c r="A9172" s="4" t="str">
        <f>CONCATENATE("3071-0000-8765","")</f>
        <v>3071-0000-8765</v>
      </c>
      <c r="B9172" s="4" t="s">
        <v>6367</v>
      </c>
      <c r="C9172" s="5">
        <v>41489</v>
      </c>
      <c r="D9172" s="5">
        <v>41549</v>
      </c>
      <c r="E9172" s="4" t="s">
        <v>5185</v>
      </c>
      <c r="F9172" s="4" t="s">
        <v>5292</v>
      </c>
    </row>
    <row r="9173" spans="1:6" x14ac:dyDescent="0.25">
      <c r="A9173" s="4" t="str">
        <f>CONCATENATE("3071-0000-7453","")</f>
        <v>3071-0000-7453</v>
      </c>
      <c r="B9173" s="4" t="s">
        <v>4672</v>
      </c>
      <c r="C9173" s="5">
        <v>41489</v>
      </c>
      <c r="D9173" s="5">
        <v>41549</v>
      </c>
      <c r="E9173" s="4" t="s">
        <v>1410</v>
      </c>
      <c r="F9173" s="4" t="s">
        <v>4655</v>
      </c>
    </row>
    <row r="9174" spans="1:6" x14ac:dyDescent="0.25">
      <c r="A9174" s="4" t="str">
        <f>CONCATENATE("3071-0000-7992","")</f>
        <v>3071-0000-7992</v>
      </c>
      <c r="B9174" s="4" t="s">
        <v>5875</v>
      </c>
      <c r="C9174" s="5">
        <v>41489</v>
      </c>
      <c r="D9174" s="5">
        <v>41549</v>
      </c>
      <c r="E9174" s="4" t="s">
        <v>5185</v>
      </c>
      <c r="F9174" s="4" t="s">
        <v>5185</v>
      </c>
    </row>
    <row r="9175" spans="1:6" x14ac:dyDescent="0.25">
      <c r="A9175" s="4" t="str">
        <f>CONCATENATE("3071-0000-9326","")</f>
        <v>3071-0000-9326</v>
      </c>
      <c r="B9175" s="4" t="s">
        <v>8376</v>
      </c>
      <c r="C9175" s="5">
        <v>41489</v>
      </c>
      <c r="D9175" s="5">
        <v>41549</v>
      </c>
      <c r="E9175" s="4" t="s">
        <v>5185</v>
      </c>
      <c r="F9175" s="4" t="s">
        <v>5185</v>
      </c>
    </row>
    <row r="9176" spans="1:6" x14ac:dyDescent="0.25">
      <c r="A9176" s="4" t="str">
        <f>CONCATENATE("3071-0000-9378","")</f>
        <v>3071-0000-9378</v>
      </c>
      <c r="B9176" s="4" t="s">
        <v>8381</v>
      </c>
      <c r="C9176" s="5">
        <v>41489</v>
      </c>
      <c r="D9176" s="5">
        <v>41549</v>
      </c>
      <c r="E9176" s="4" t="s">
        <v>1410</v>
      </c>
      <c r="F9176" s="4" t="s">
        <v>4459</v>
      </c>
    </row>
    <row r="9177" spans="1:6" x14ac:dyDescent="0.25">
      <c r="A9177" s="4" t="str">
        <f>CONCATENATE("3071-0000-7593","")</f>
        <v>3071-0000-7593</v>
      </c>
      <c r="B9177" s="4" t="s">
        <v>4614</v>
      </c>
      <c r="C9177" s="5">
        <v>41489</v>
      </c>
      <c r="D9177" s="5">
        <v>41549</v>
      </c>
      <c r="E9177" s="4" t="s">
        <v>1410</v>
      </c>
      <c r="F9177" s="4" t="s">
        <v>1410</v>
      </c>
    </row>
    <row r="9178" spans="1:6" x14ac:dyDescent="0.25">
      <c r="A9178" s="4" t="str">
        <f>CONCATENATE("3071-0000-7207","")</f>
        <v>3071-0000-7207</v>
      </c>
      <c r="B9178" s="4" t="s">
        <v>5005</v>
      </c>
      <c r="C9178" s="5">
        <v>41489</v>
      </c>
      <c r="D9178" s="5">
        <v>41549</v>
      </c>
      <c r="E9178" s="4" t="s">
        <v>1410</v>
      </c>
      <c r="F9178" s="4" t="s">
        <v>1410</v>
      </c>
    </row>
    <row r="9179" spans="1:6" x14ac:dyDescent="0.25">
      <c r="A9179" s="4" t="str">
        <f>CONCATENATE("3071-0000-9434","")</f>
        <v>3071-0000-9434</v>
      </c>
      <c r="B9179" s="4" t="s">
        <v>8419</v>
      </c>
      <c r="C9179" s="5">
        <v>41489</v>
      </c>
      <c r="D9179" s="5">
        <v>41549</v>
      </c>
      <c r="E9179" s="4" t="s">
        <v>1410</v>
      </c>
      <c r="F9179" s="4" t="s">
        <v>7967</v>
      </c>
    </row>
    <row r="9180" spans="1:6" x14ac:dyDescent="0.25">
      <c r="A9180" s="4" t="str">
        <f>CONCATENATE("3071-0000-3633","")</f>
        <v>3071-0000-3633</v>
      </c>
      <c r="B9180" s="4" t="s">
        <v>1636</v>
      </c>
      <c r="C9180" s="5">
        <v>41489</v>
      </c>
      <c r="D9180" s="5">
        <v>41549</v>
      </c>
      <c r="E9180" s="4" t="s">
        <v>1410</v>
      </c>
      <c r="F9180" s="4" t="s">
        <v>1410</v>
      </c>
    </row>
    <row r="9181" spans="1:6" x14ac:dyDescent="0.25">
      <c r="A9181" s="4" t="str">
        <f>CONCATENATE("3071-0000-7681","")</f>
        <v>3071-0000-7681</v>
      </c>
      <c r="B9181" s="4" t="s">
        <v>4272</v>
      </c>
      <c r="C9181" s="5">
        <v>41489</v>
      </c>
      <c r="D9181" s="5">
        <v>41549</v>
      </c>
      <c r="E9181" s="4" t="s">
        <v>1410</v>
      </c>
      <c r="F9181" s="4" t="s">
        <v>1410</v>
      </c>
    </row>
    <row r="9182" spans="1:6" x14ac:dyDescent="0.25">
      <c r="A9182" s="4" t="str">
        <f>CONCATENATE("3071-0000-9343","")</f>
        <v>3071-0000-9343</v>
      </c>
      <c r="B9182" s="4" t="s">
        <v>8472</v>
      </c>
      <c r="C9182" s="5">
        <v>41489</v>
      </c>
      <c r="D9182" s="5">
        <v>41549</v>
      </c>
      <c r="E9182" s="4" t="s">
        <v>1410</v>
      </c>
      <c r="F9182" s="4" t="s">
        <v>4459</v>
      </c>
    </row>
    <row r="9183" spans="1:6" x14ac:dyDescent="0.25">
      <c r="A9183" s="4" t="str">
        <f>CONCATENATE("3071-0000-9521","")</f>
        <v>3071-0000-9521</v>
      </c>
      <c r="B9183" s="4" t="s">
        <v>8568</v>
      </c>
      <c r="C9183" s="5">
        <v>41489</v>
      </c>
      <c r="D9183" s="5">
        <v>41549</v>
      </c>
      <c r="E9183" s="4" t="s">
        <v>1410</v>
      </c>
      <c r="F9183" s="4" t="s">
        <v>4459</v>
      </c>
    </row>
    <row r="9184" spans="1:6" x14ac:dyDescent="0.25">
      <c r="A9184" s="4" t="str">
        <f>CONCATENATE("3071-0000-6750","")</f>
        <v>3071-0000-6750</v>
      </c>
      <c r="B9184" s="4" t="s">
        <v>7757</v>
      </c>
      <c r="C9184" s="5">
        <v>41489</v>
      </c>
      <c r="D9184" s="5">
        <v>41549</v>
      </c>
      <c r="E9184" s="4" t="s">
        <v>1410</v>
      </c>
      <c r="F9184" s="4" t="s">
        <v>4655</v>
      </c>
    </row>
    <row r="9185" spans="1:6" x14ac:dyDescent="0.25">
      <c r="A9185" s="4" t="str">
        <f>CONCATENATE("3071-0000-9473","")</f>
        <v>3071-0000-9473</v>
      </c>
      <c r="B9185" s="4" t="s">
        <v>8579</v>
      </c>
      <c r="C9185" s="5">
        <v>41489</v>
      </c>
      <c r="D9185" s="5">
        <v>41549</v>
      </c>
      <c r="E9185" s="4" t="s">
        <v>1410</v>
      </c>
      <c r="F9185" s="4" t="s">
        <v>4459</v>
      </c>
    </row>
    <row r="9186" spans="1:6" x14ac:dyDescent="0.25">
      <c r="A9186" s="4" t="str">
        <f>CONCATENATE("3071-0000-6085","")</f>
        <v>3071-0000-6085</v>
      </c>
      <c r="B9186" s="4" t="s">
        <v>7036</v>
      </c>
      <c r="C9186" s="5">
        <v>41489</v>
      </c>
      <c r="D9186" s="5">
        <v>41549</v>
      </c>
      <c r="E9186" s="4" t="s">
        <v>1410</v>
      </c>
      <c r="F9186" s="4" t="s">
        <v>6798</v>
      </c>
    </row>
    <row r="9187" spans="1:6" x14ac:dyDescent="0.25">
      <c r="A9187" s="4" t="str">
        <f>CONCATENATE("3071-0000-5806","")</f>
        <v>3071-0000-5806</v>
      </c>
      <c r="B9187" s="4" t="s">
        <v>7020</v>
      </c>
      <c r="C9187" s="5">
        <v>41489</v>
      </c>
      <c r="D9187" s="5">
        <v>41549</v>
      </c>
      <c r="E9187" s="4" t="s">
        <v>5185</v>
      </c>
      <c r="F9187" s="4" t="s">
        <v>5185</v>
      </c>
    </row>
    <row r="9188" spans="1:6" x14ac:dyDescent="0.25">
      <c r="A9188" s="4" t="str">
        <f>CONCATENATE("3071-0000-1535","")</f>
        <v>3071-0000-1535</v>
      </c>
      <c r="B9188" s="4" t="s">
        <v>2748</v>
      </c>
      <c r="C9188" s="5">
        <v>41489</v>
      </c>
      <c r="D9188" s="5">
        <v>41549</v>
      </c>
      <c r="E9188" s="4" t="s">
        <v>1381</v>
      </c>
      <c r="F9188" s="4" t="s">
        <v>2303</v>
      </c>
    </row>
    <row r="9189" spans="1:6" x14ac:dyDescent="0.25">
      <c r="A9189" s="4" t="str">
        <f>CONCATENATE("3071-0000-3959","")</f>
        <v>3071-0000-3959</v>
      </c>
      <c r="B9189" s="4" t="s">
        <v>4176</v>
      </c>
      <c r="C9189" s="5">
        <v>41489</v>
      </c>
      <c r="D9189" s="5">
        <v>41549</v>
      </c>
      <c r="E9189" s="4" t="s">
        <v>2944</v>
      </c>
      <c r="F9189" s="4" t="s">
        <v>3513</v>
      </c>
    </row>
    <row r="9190" spans="1:6" x14ac:dyDescent="0.25">
      <c r="A9190" s="4" t="str">
        <f>CONCATENATE("3071-0000-3328","")</f>
        <v>3071-0000-3328</v>
      </c>
      <c r="B9190" s="4" t="s">
        <v>827</v>
      </c>
      <c r="C9190" s="5">
        <v>41489</v>
      </c>
      <c r="D9190" s="5">
        <v>41549</v>
      </c>
      <c r="E9190" s="4" t="s">
        <v>7</v>
      </c>
      <c r="F9190" s="4" t="s">
        <v>808</v>
      </c>
    </row>
    <row r="9191" spans="1:6" x14ac:dyDescent="0.25">
      <c r="A9191" s="4" t="str">
        <f>CONCATENATE("3071-0000-1223","")</f>
        <v>3071-0000-1223</v>
      </c>
      <c r="B9191" s="4" t="s">
        <v>2286</v>
      </c>
      <c r="C9191" s="5">
        <v>41489</v>
      </c>
      <c r="D9191" s="5">
        <v>41549</v>
      </c>
      <c r="E9191" s="4" t="s">
        <v>1381</v>
      </c>
      <c r="F9191" s="4" t="s">
        <v>2259</v>
      </c>
    </row>
    <row r="9192" spans="1:6" x14ac:dyDescent="0.25">
      <c r="A9192" s="4" t="str">
        <f>CONCATENATE("3071-0000-3494","")</f>
        <v>3071-0000-3494</v>
      </c>
      <c r="B9192" s="4" t="s">
        <v>1792</v>
      </c>
      <c r="C9192" s="5">
        <v>41489</v>
      </c>
      <c r="D9192" s="5">
        <v>41549</v>
      </c>
      <c r="E9192" s="4" t="s">
        <v>1410</v>
      </c>
      <c r="F9192" s="4" t="s">
        <v>1411</v>
      </c>
    </row>
    <row r="9193" spans="1:6" x14ac:dyDescent="0.25">
      <c r="A9193" s="4" t="str">
        <f>CONCATENATE("3071-0000-7041","")</f>
        <v>3071-0000-7041</v>
      </c>
      <c r="B9193" s="4" t="s">
        <v>4837</v>
      </c>
      <c r="C9193" s="5">
        <v>41489</v>
      </c>
      <c r="D9193" s="5">
        <v>41549</v>
      </c>
      <c r="E9193" s="4" t="s">
        <v>1410</v>
      </c>
      <c r="F9193" s="4" t="s">
        <v>1410</v>
      </c>
    </row>
    <row r="9194" spans="1:6" x14ac:dyDescent="0.25">
      <c r="A9194" s="4" t="str">
        <f>CONCATENATE("3071-0000-4533","")</f>
        <v>3071-0000-4533</v>
      </c>
      <c r="B9194" s="4" t="s">
        <v>9558</v>
      </c>
      <c r="C9194" s="5">
        <v>41489</v>
      </c>
      <c r="D9194" s="5">
        <v>41549</v>
      </c>
      <c r="E9194" s="4" t="s">
        <v>1410</v>
      </c>
      <c r="F9194" s="4" t="s">
        <v>8696</v>
      </c>
    </row>
    <row r="9195" spans="1:6" x14ac:dyDescent="0.25">
      <c r="A9195" s="4" t="str">
        <f>CONCATENATE("3071-0000-1334","")</f>
        <v>3071-0000-1334</v>
      </c>
      <c r="B9195" s="4" t="s">
        <v>2463</v>
      </c>
      <c r="C9195" s="5">
        <v>41489</v>
      </c>
      <c r="D9195" s="5">
        <v>41549</v>
      </c>
      <c r="E9195" s="4" t="s">
        <v>1381</v>
      </c>
      <c r="F9195" s="4" t="s">
        <v>2303</v>
      </c>
    </row>
    <row r="9196" spans="1:6" x14ac:dyDescent="0.25">
      <c r="A9196" s="4" t="str">
        <f>CONCATENATE("3071-0000-6976","")</f>
        <v>3071-0000-6976</v>
      </c>
      <c r="B9196" s="4" t="s">
        <v>4479</v>
      </c>
      <c r="C9196" s="5">
        <v>41489</v>
      </c>
      <c r="D9196" s="5">
        <v>41549</v>
      </c>
      <c r="E9196" s="4" t="s">
        <v>1410</v>
      </c>
      <c r="F9196" s="4" t="s">
        <v>1410</v>
      </c>
    </row>
    <row r="9197" spans="1:6" x14ac:dyDescent="0.25">
      <c r="A9197" s="4" t="str">
        <f>CONCATENATE("3071-0000-0684","")</f>
        <v>3071-0000-0684</v>
      </c>
      <c r="B9197" s="4" t="s">
        <v>480</v>
      </c>
      <c r="C9197" s="5">
        <v>41489</v>
      </c>
      <c r="D9197" s="5">
        <v>41549</v>
      </c>
      <c r="E9197" s="4" t="s">
        <v>7</v>
      </c>
      <c r="F9197" s="4" t="s">
        <v>273</v>
      </c>
    </row>
    <row r="9198" spans="1:6" x14ac:dyDescent="0.25">
      <c r="A9198" s="4" t="str">
        <f>CONCATENATE("3071-0000-6147","")</f>
        <v>3071-0000-6147</v>
      </c>
      <c r="B9198" s="4" t="s">
        <v>7718</v>
      </c>
      <c r="C9198" s="5">
        <v>41489</v>
      </c>
      <c r="D9198" s="5">
        <v>41549</v>
      </c>
      <c r="E9198" s="4" t="s">
        <v>1410</v>
      </c>
      <c r="F9198" s="4" t="s">
        <v>1410</v>
      </c>
    </row>
    <row r="9199" spans="1:6" x14ac:dyDescent="0.25">
      <c r="A9199" s="4" t="str">
        <f>CONCATENATE("3071-0000-3606","")</f>
        <v>3071-0000-3606</v>
      </c>
      <c r="B9199" s="4" t="s">
        <v>1451</v>
      </c>
      <c r="C9199" s="5">
        <v>41489</v>
      </c>
      <c r="D9199" s="5">
        <v>41549</v>
      </c>
      <c r="E9199" s="4" t="s">
        <v>1410</v>
      </c>
      <c r="F9199" s="4" t="s">
        <v>1411</v>
      </c>
    </row>
    <row r="9200" spans="1:6" x14ac:dyDescent="0.25">
      <c r="A9200" s="4" t="str">
        <f>CONCATENATE("3071-0000-4224","")</f>
        <v>3071-0000-4224</v>
      </c>
      <c r="B9200" s="4" t="s">
        <v>8876</v>
      </c>
      <c r="C9200" s="5">
        <v>41489</v>
      </c>
      <c r="D9200" s="5">
        <v>41549</v>
      </c>
      <c r="E9200" s="4" t="s">
        <v>1410</v>
      </c>
      <c r="F9200" s="4" t="s">
        <v>8851</v>
      </c>
    </row>
    <row r="9201" spans="1:6" x14ac:dyDescent="0.25">
      <c r="A9201" s="4" t="str">
        <f>CONCATENATE("3071-0000-3520","")</f>
        <v>3071-0000-3520</v>
      </c>
      <c r="B9201" s="4" t="s">
        <v>1841</v>
      </c>
      <c r="C9201" s="5">
        <v>41489</v>
      </c>
      <c r="D9201" s="5">
        <v>41549</v>
      </c>
      <c r="E9201" s="4" t="s">
        <v>1410</v>
      </c>
      <c r="F9201" s="4" t="s">
        <v>1411</v>
      </c>
    </row>
    <row r="9202" spans="1:6" x14ac:dyDescent="0.25">
      <c r="A9202" s="4" t="str">
        <f>CONCATENATE("3071-0000-5947","")</f>
        <v>3071-0000-5947</v>
      </c>
      <c r="B9202" s="4" t="s">
        <v>7298</v>
      </c>
      <c r="C9202" s="5">
        <v>41489</v>
      </c>
      <c r="D9202" s="5">
        <v>41549</v>
      </c>
      <c r="E9202" s="4" t="s">
        <v>5185</v>
      </c>
      <c r="F9202" s="4" t="s">
        <v>5185</v>
      </c>
    </row>
    <row r="9203" spans="1:6" x14ac:dyDescent="0.25">
      <c r="A9203" s="4" t="str">
        <f>CONCATENATE("3071-0000-5943","")</f>
        <v>3071-0000-5943</v>
      </c>
      <c r="B9203" s="4" t="s">
        <v>7295</v>
      </c>
      <c r="C9203" s="5">
        <v>41489</v>
      </c>
      <c r="D9203" s="5">
        <v>41549</v>
      </c>
      <c r="E9203" s="4" t="s">
        <v>5185</v>
      </c>
      <c r="F9203" s="4" t="s">
        <v>5185</v>
      </c>
    </row>
    <row r="9204" spans="1:6" x14ac:dyDescent="0.25">
      <c r="A9204" s="4" t="str">
        <f>CONCATENATE("3071-0000-0726","")</f>
        <v>3071-0000-0726</v>
      </c>
      <c r="B9204" s="4" t="s">
        <v>297</v>
      </c>
      <c r="C9204" s="5">
        <v>41489</v>
      </c>
      <c r="D9204" s="5">
        <v>41549</v>
      </c>
      <c r="E9204" s="4" t="s">
        <v>7</v>
      </c>
      <c r="F9204" s="4" t="s">
        <v>273</v>
      </c>
    </row>
    <row r="9205" spans="1:6" x14ac:dyDescent="0.25">
      <c r="A9205" s="4" t="str">
        <f>CONCATENATE("3071-0000-6150","")</f>
        <v>3071-0000-6150</v>
      </c>
      <c r="B9205" s="4" t="s">
        <v>7705</v>
      </c>
      <c r="C9205" s="5">
        <v>41489</v>
      </c>
      <c r="D9205" s="5">
        <v>41549</v>
      </c>
      <c r="E9205" s="4" t="s">
        <v>1410</v>
      </c>
      <c r="F9205" s="4" t="s">
        <v>1410</v>
      </c>
    </row>
    <row r="9206" spans="1:6" x14ac:dyDescent="0.25">
      <c r="A9206" s="4" t="str">
        <f>CONCATENATE("3071-0000-3611","")</f>
        <v>3071-0000-3611</v>
      </c>
      <c r="B9206" s="4" t="s">
        <v>1455</v>
      </c>
      <c r="C9206" s="5">
        <v>41489</v>
      </c>
      <c r="D9206" s="5">
        <v>41549</v>
      </c>
      <c r="E9206" s="4" t="s">
        <v>1410</v>
      </c>
      <c r="F9206" s="4" t="s">
        <v>1411</v>
      </c>
    </row>
    <row r="9207" spans="1:6" x14ac:dyDescent="0.25">
      <c r="A9207" s="4" t="str">
        <f>CONCATENATE("3071-0000-7389","")</f>
        <v>3071-0000-7389</v>
      </c>
      <c r="B9207" s="4" t="s">
        <v>4300</v>
      </c>
      <c r="C9207" s="5">
        <v>41489</v>
      </c>
      <c r="D9207" s="5">
        <v>41549</v>
      </c>
      <c r="E9207" s="4" t="s">
        <v>1410</v>
      </c>
      <c r="F9207" s="4" t="s">
        <v>1410</v>
      </c>
    </row>
    <row r="9208" spans="1:6" x14ac:dyDescent="0.25">
      <c r="A9208" s="4" t="str">
        <f>CONCATENATE("3071-0000-6113","")</f>
        <v>3071-0000-6113</v>
      </c>
      <c r="B9208" s="4" t="s">
        <v>7717</v>
      </c>
      <c r="C9208" s="5">
        <v>41489</v>
      </c>
      <c r="D9208" s="5">
        <v>41549</v>
      </c>
      <c r="E9208" s="4" t="s">
        <v>1410</v>
      </c>
      <c r="F9208" s="4" t="s">
        <v>1410</v>
      </c>
    </row>
    <row r="9209" spans="1:6" x14ac:dyDescent="0.25">
      <c r="A9209" s="4" t="str">
        <f>CONCATENATE("3071-0000-1562","")</f>
        <v>3071-0000-1562</v>
      </c>
      <c r="B9209" s="4" t="s">
        <v>2390</v>
      </c>
      <c r="C9209" s="5">
        <v>41489</v>
      </c>
      <c r="D9209" s="5">
        <v>41549</v>
      </c>
      <c r="E9209" s="4" t="s">
        <v>1381</v>
      </c>
      <c r="F9209" s="4" t="s">
        <v>2303</v>
      </c>
    </row>
    <row r="9210" spans="1:6" x14ac:dyDescent="0.25">
      <c r="A9210" s="4" t="str">
        <f>CONCATENATE("3071-0000-3524","")</f>
        <v>3071-0000-3524</v>
      </c>
      <c r="B9210" s="4" t="s">
        <v>1845</v>
      </c>
      <c r="C9210" s="5">
        <v>41489</v>
      </c>
      <c r="D9210" s="5">
        <v>41549</v>
      </c>
      <c r="E9210" s="4" t="s">
        <v>1410</v>
      </c>
      <c r="F9210" s="4" t="s">
        <v>1411</v>
      </c>
    </row>
    <row r="9211" spans="1:6" x14ac:dyDescent="0.25">
      <c r="A9211" s="4" t="str">
        <f>CONCATENATE("3071-0000-0632","")</f>
        <v>3071-0000-0632</v>
      </c>
      <c r="B9211" s="4" t="s">
        <v>384</v>
      </c>
      <c r="C9211" s="5">
        <v>41489</v>
      </c>
      <c r="D9211" s="5">
        <v>41549</v>
      </c>
      <c r="E9211" s="4" t="s">
        <v>7</v>
      </c>
      <c r="F9211" s="4" t="s">
        <v>273</v>
      </c>
    </row>
    <row r="9212" spans="1:6" x14ac:dyDescent="0.25">
      <c r="A9212" s="4" t="str">
        <f>CONCATENATE("3071-0000-6458","")</f>
        <v>3071-0000-6458</v>
      </c>
      <c r="B9212" s="4" t="s">
        <v>8098</v>
      </c>
      <c r="C9212" s="5">
        <v>41489</v>
      </c>
      <c r="D9212" s="5">
        <v>41549</v>
      </c>
      <c r="E9212" s="4" t="s">
        <v>5185</v>
      </c>
      <c r="F9212" s="4" t="s">
        <v>5185</v>
      </c>
    </row>
    <row r="9213" spans="1:6" x14ac:dyDescent="0.25">
      <c r="A9213" s="4" t="str">
        <f>CONCATENATE("3071-0000-7315","")</f>
        <v>3071-0000-7315</v>
      </c>
      <c r="B9213" s="4" t="s">
        <v>5038</v>
      </c>
      <c r="C9213" s="5">
        <v>41489</v>
      </c>
      <c r="D9213" s="5">
        <v>41549</v>
      </c>
      <c r="E9213" s="4" t="s">
        <v>1410</v>
      </c>
      <c r="F9213" s="4" t="s">
        <v>1410</v>
      </c>
    </row>
    <row r="9214" spans="1:6" x14ac:dyDescent="0.25">
      <c r="A9214" s="4" t="str">
        <f>CONCATENATE("3071-0000-6423","")</f>
        <v>3071-0000-6423</v>
      </c>
      <c r="B9214" s="4" t="s">
        <v>8129</v>
      </c>
      <c r="C9214" s="5">
        <v>41489</v>
      </c>
      <c r="D9214" s="5">
        <v>41549</v>
      </c>
      <c r="E9214" s="4" t="s">
        <v>5185</v>
      </c>
      <c r="F9214" s="4" t="s">
        <v>5185</v>
      </c>
    </row>
    <row r="9215" spans="1:6" x14ac:dyDescent="0.25">
      <c r="A9215" s="4" t="str">
        <f>CONCATENATE("3071-0000-3660","")</f>
        <v>3071-0000-3660</v>
      </c>
      <c r="B9215" s="4" t="s">
        <v>1608</v>
      </c>
      <c r="C9215" s="5">
        <v>41489</v>
      </c>
      <c r="D9215" s="5">
        <v>41549</v>
      </c>
      <c r="E9215" s="4" t="s">
        <v>1410</v>
      </c>
      <c r="F9215" s="4" t="s">
        <v>1601</v>
      </c>
    </row>
    <row r="9216" spans="1:6" x14ac:dyDescent="0.25">
      <c r="A9216" s="4" t="str">
        <f>CONCATENATE("3071-0000-0503","")</f>
        <v>3071-0000-0503</v>
      </c>
      <c r="B9216" s="4" t="s">
        <v>755</v>
      </c>
      <c r="C9216" s="5">
        <v>41489</v>
      </c>
      <c r="D9216" s="5">
        <v>41549</v>
      </c>
      <c r="E9216" s="4" t="s">
        <v>7</v>
      </c>
      <c r="F9216" s="4" t="s">
        <v>273</v>
      </c>
    </row>
    <row r="9217" spans="1:6" x14ac:dyDescent="0.25">
      <c r="A9217" s="4" t="str">
        <f>CONCATENATE("3071-0000-6900","")</f>
        <v>3071-0000-6900</v>
      </c>
      <c r="B9217" s="4" t="s">
        <v>4287</v>
      </c>
      <c r="C9217" s="5">
        <v>41489</v>
      </c>
      <c r="D9217" s="5">
        <v>41549</v>
      </c>
      <c r="E9217" s="4" t="s">
        <v>1410</v>
      </c>
      <c r="F9217" s="4" t="s">
        <v>1410</v>
      </c>
    </row>
    <row r="9218" spans="1:6" x14ac:dyDescent="0.25">
      <c r="A9218" s="4" t="str">
        <f>CONCATENATE("3071-0000-9177","")</f>
        <v>3071-0000-9177</v>
      </c>
      <c r="B9218" s="4" t="s">
        <v>6180</v>
      </c>
      <c r="C9218" s="5">
        <v>41489</v>
      </c>
      <c r="D9218" s="5">
        <v>41549</v>
      </c>
      <c r="E9218" s="4" t="s">
        <v>5185</v>
      </c>
      <c r="F9218" s="4" t="s">
        <v>5945</v>
      </c>
    </row>
    <row r="9219" spans="1:6" x14ac:dyDescent="0.25">
      <c r="A9219" s="4" t="str">
        <f>CONCATENATE("3071-0000-7076","")</f>
        <v>3071-0000-7076</v>
      </c>
      <c r="B9219" s="4" t="s">
        <v>4770</v>
      </c>
      <c r="C9219" s="5">
        <v>41489</v>
      </c>
      <c r="D9219" s="5">
        <v>41549</v>
      </c>
      <c r="E9219" s="4" t="s">
        <v>1410</v>
      </c>
      <c r="F9219" s="4" t="s">
        <v>1410</v>
      </c>
    </row>
    <row r="9220" spans="1:6" x14ac:dyDescent="0.25">
      <c r="A9220" s="4" t="str">
        <f>CONCATENATE("3071-0000-9388","")</f>
        <v>3071-0000-9388</v>
      </c>
      <c r="B9220" s="4" t="s">
        <v>8693</v>
      </c>
      <c r="C9220" s="5">
        <v>41489</v>
      </c>
      <c r="D9220" s="5">
        <v>41549</v>
      </c>
      <c r="E9220" s="4" t="s">
        <v>1410</v>
      </c>
      <c r="F9220" s="4" t="s">
        <v>4459</v>
      </c>
    </row>
    <row r="9221" spans="1:6" x14ac:dyDescent="0.25">
      <c r="A9221" s="4" t="str">
        <f>CONCATENATE("3071-0000-1561","")</f>
        <v>3071-0000-1561</v>
      </c>
      <c r="B9221" s="4" t="s">
        <v>2471</v>
      </c>
      <c r="C9221" s="5">
        <v>41489</v>
      </c>
      <c r="D9221" s="5">
        <v>41549</v>
      </c>
      <c r="E9221" s="4" t="s">
        <v>1381</v>
      </c>
      <c r="F9221" s="4" t="s">
        <v>2303</v>
      </c>
    </row>
    <row r="9222" spans="1:6" x14ac:dyDescent="0.25">
      <c r="A9222" s="4" t="str">
        <f>CONCATENATE("3071-0000-9619","")</f>
        <v>3071-0000-9619</v>
      </c>
      <c r="B9222" s="4" t="s">
        <v>8685</v>
      </c>
      <c r="C9222" s="5">
        <v>41489</v>
      </c>
      <c r="D9222" s="5">
        <v>41549</v>
      </c>
      <c r="E9222" s="4" t="s">
        <v>1410</v>
      </c>
      <c r="F9222" s="4" t="s">
        <v>4459</v>
      </c>
    </row>
    <row r="9223" spans="1:6" x14ac:dyDescent="0.25">
      <c r="A9223" s="4" t="str">
        <f>CONCATENATE("3071-0000-9279","")</f>
        <v>3071-0000-9279</v>
      </c>
      <c r="B9223" s="4" t="s">
        <v>8292</v>
      </c>
      <c r="C9223" s="5">
        <v>41489</v>
      </c>
      <c r="D9223" s="5">
        <v>41549</v>
      </c>
      <c r="E9223" s="4" t="s">
        <v>5185</v>
      </c>
      <c r="F9223" s="4" t="s">
        <v>5185</v>
      </c>
    </row>
    <row r="9224" spans="1:6" x14ac:dyDescent="0.25">
      <c r="A9224" s="4" t="str">
        <f>CONCATENATE("3071-0000-7363","")</f>
        <v>3071-0000-7363</v>
      </c>
      <c r="B9224" s="4" t="s">
        <v>4781</v>
      </c>
      <c r="C9224" s="5">
        <v>41489</v>
      </c>
      <c r="D9224" s="5">
        <v>41549</v>
      </c>
      <c r="E9224" s="4" t="s">
        <v>1410</v>
      </c>
      <c r="F9224" s="4" t="s">
        <v>1410</v>
      </c>
    </row>
    <row r="9225" spans="1:6" x14ac:dyDescent="0.25">
      <c r="A9225" s="4" t="str">
        <f>CONCATENATE("3071-0000-7073","")</f>
        <v>3071-0000-7073</v>
      </c>
      <c r="B9225" s="4" t="s">
        <v>4710</v>
      </c>
      <c r="C9225" s="5">
        <v>41489</v>
      </c>
      <c r="D9225" s="5">
        <v>41549</v>
      </c>
      <c r="E9225" s="4" t="s">
        <v>1410</v>
      </c>
      <c r="F9225" s="4" t="s">
        <v>1410</v>
      </c>
    </row>
    <row r="9226" spans="1:6" x14ac:dyDescent="0.25">
      <c r="A9226" s="4" t="str">
        <f>CONCATENATE("3071-0000-7081","")</f>
        <v>3071-0000-7081</v>
      </c>
      <c r="B9226" s="4" t="s">
        <v>4776</v>
      </c>
      <c r="C9226" s="5">
        <v>41489</v>
      </c>
      <c r="D9226" s="5">
        <v>41549</v>
      </c>
      <c r="E9226" s="4" t="s">
        <v>1410</v>
      </c>
      <c r="F9226" s="4" t="s">
        <v>1410</v>
      </c>
    </row>
    <row r="9227" spans="1:6" x14ac:dyDescent="0.25">
      <c r="A9227" s="4" t="str">
        <f>CONCATENATE("3071-0000-6661","")</f>
        <v>3071-0000-6661</v>
      </c>
      <c r="B9227" s="4" t="s">
        <v>8116</v>
      </c>
      <c r="C9227" s="5">
        <v>41489</v>
      </c>
      <c r="D9227" s="5">
        <v>41549</v>
      </c>
      <c r="E9227" s="4" t="s">
        <v>5185</v>
      </c>
      <c r="F9227" s="4" t="s">
        <v>5185</v>
      </c>
    </row>
    <row r="9228" spans="1:6" x14ac:dyDescent="0.25">
      <c r="A9228" s="4" t="str">
        <f>CONCATENATE("3071-0000-9223","")</f>
        <v>3071-0000-9223</v>
      </c>
      <c r="B9228" s="4" t="s">
        <v>8307</v>
      </c>
      <c r="C9228" s="5">
        <v>41489</v>
      </c>
      <c r="D9228" s="5">
        <v>41549</v>
      </c>
      <c r="E9228" s="4" t="s">
        <v>5185</v>
      </c>
      <c r="F9228" s="4" t="s">
        <v>5185</v>
      </c>
    </row>
    <row r="9229" spans="1:6" x14ac:dyDescent="0.25">
      <c r="A9229" s="4" t="str">
        <f>CONCATENATE("3071-0000-6640","")</f>
        <v>3071-0000-6640</v>
      </c>
      <c r="B9229" s="4" t="s">
        <v>8237</v>
      </c>
      <c r="C9229" s="5">
        <v>41489</v>
      </c>
      <c r="D9229" s="5">
        <v>41549</v>
      </c>
      <c r="E9229" s="4" t="s">
        <v>5185</v>
      </c>
      <c r="F9229" s="4" t="s">
        <v>5185</v>
      </c>
    </row>
    <row r="9230" spans="1:6" x14ac:dyDescent="0.25">
      <c r="A9230" s="4" t="str">
        <f>CONCATENATE("3071-0000-9230","")</f>
        <v>3071-0000-9230</v>
      </c>
      <c r="B9230" s="4" t="s">
        <v>8309</v>
      </c>
      <c r="C9230" s="5">
        <v>41489</v>
      </c>
      <c r="D9230" s="5">
        <v>41549</v>
      </c>
      <c r="E9230" s="4" t="s">
        <v>5185</v>
      </c>
      <c r="F9230" s="4" t="s">
        <v>5185</v>
      </c>
    </row>
    <row r="9231" spans="1:6" x14ac:dyDescent="0.25">
      <c r="A9231" s="4" t="str">
        <f>CONCATENATE("3071-0000-0588","")</f>
        <v>3071-0000-0588</v>
      </c>
      <c r="B9231" s="4" t="s">
        <v>625</v>
      </c>
      <c r="C9231" s="5">
        <v>41489</v>
      </c>
      <c r="D9231" s="5">
        <v>41549</v>
      </c>
      <c r="E9231" s="4" t="s">
        <v>7</v>
      </c>
      <c r="F9231" s="4" t="s">
        <v>7</v>
      </c>
    </row>
    <row r="9232" spans="1:6" x14ac:dyDescent="0.25">
      <c r="A9232" s="4" t="str">
        <f>CONCATENATE("3071-0000-0308","")</f>
        <v>3071-0000-0308</v>
      </c>
      <c r="B9232" s="4" t="s">
        <v>741</v>
      </c>
      <c r="C9232" s="5">
        <v>41489</v>
      </c>
      <c r="D9232" s="5">
        <v>41549</v>
      </c>
      <c r="E9232" s="4" t="s">
        <v>7</v>
      </c>
      <c r="F9232" s="4" t="s">
        <v>7</v>
      </c>
    </row>
    <row r="9233" spans="1:6" x14ac:dyDescent="0.25">
      <c r="A9233" s="4" t="str">
        <f>CONCATENATE("3071-0000-7095","")</f>
        <v>3071-0000-7095</v>
      </c>
      <c r="B9233" s="4" t="s">
        <v>4690</v>
      </c>
      <c r="C9233" s="5">
        <v>41489</v>
      </c>
      <c r="D9233" s="5">
        <v>41549</v>
      </c>
      <c r="E9233" s="4" t="s">
        <v>1410</v>
      </c>
      <c r="F9233" s="4" t="s">
        <v>1410</v>
      </c>
    </row>
    <row r="9234" spans="1:6" x14ac:dyDescent="0.25">
      <c r="A9234" s="4" t="str">
        <f>CONCATENATE("3071-0000-7405","")</f>
        <v>3071-0000-7405</v>
      </c>
      <c r="B9234" s="4" t="s">
        <v>4807</v>
      </c>
      <c r="C9234" s="5">
        <v>41489</v>
      </c>
      <c r="D9234" s="5">
        <v>41549</v>
      </c>
      <c r="E9234" s="4" t="s">
        <v>1410</v>
      </c>
      <c r="F9234" s="4" t="s">
        <v>1410</v>
      </c>
    </row>
    <row r="9235" spans="1:6" x14ac:dyDescent="0.25">
      <c r="A9235" s="4" t="str">
        <f>CONCATENATE("3071-0000-8155","")</f>
        <v>3071-0000-8155</v>
      </c>
      <c r="B9235" s="4" t="s">
        <v>5434</v>
      </c>
      <c r="C9235" s="5">
        <v>41489</v>
      </c>
      <c r="D9235" s="5">
        <v>41549</v>
      </c>
      <c r="E9235" s="4" t="s">
        <v>1410</v>
      </c>
      <c r="F9235" s="4" t="s">
        <v>4616</v>
      </c>
    </row>
    <row r="9236" spans="1:6" x14ac:dyDescent="0.25">
      <c r="A9236" s="4" t="str">
        <f>CONCATENATE("3071-0000-6568","")</f>
        <v>3071-0000-6568</v>
      </c>
      <c r="B9236" s="4" t="s">
        <v>7817</v>
      </c>
      <c r="C9236" s="5">
        <v>41489</v>
      </c>
      <c r="D9236" s="5">
        <v>41549</v>
      </c>
      <c r="E9236" s="4" t="s">
        <v>5185</v>
      </c>
      <c r="F9236" s="4" t="s">
        <v>5185</v>
      </c>
    </row>
    <row r="9237" spans="1:6" x14ac:dyDescent="0.25">
      <c r="A9237" s="4" t="str">
        <f>CONCATENATE("3071-0000-6891","")</f>
        <v>3071-0000-6891</v>
      </c>
      <c r="B9237" s="4" t="s">
        <v>4284</v>
      </c>
      <c r="C9237" s="5">
        <v>41489</v>
      </c>
      <c r="D9237" s="5">
        <v>41549</v>
      </c>
      <c r="E9237" s="4" t="s">
        <v>1410</v>
      </c>
      <c r="F9237" s="4" t="s">
        <v>1410</v>
      </c>
    </row>
    <row r="9238" spans="1:6" x14ac:dyDescent="0.25">
      <c r="A9238" s="4" t="str">
        <f>CONCATENATE("3071-0000-3683","")</f>
        <v>3071-0000-3683</v>
      </c>
      <c r="B9238" s="4" t="s">
        <v>1494</v>
      </c>
      <c r="C9238" s="5">
        <v>41489</v>
      </c>
      <c r="D9238" s="5">
        <v>41549</v>
      </c>
      <c r="E9238" s="4" t="s">
        <v>1410</v>
      </c>
      <c r="F9238" s="4" t="s">
        <v>1411</v>
      </c>
    </row>
    <row r="9239" spans="1:6" x14ac:dyDescent="0.25">
      <c r="A9239" s="4" t="str">
        <f>CONCATENATE("3071-0000-6639","")</f>
        <v>3071-0000-6639</v>
      </c>
      <c r="B9239" s="4" t="s">
        <v>8236</v>
      </c>
      <c r="C9239" s="5">
        <v>41489</v>
      </c>
      <c r="D9239" s="5">
        <v>41549</v>
      </c>
      <c r="E9239" s="4" t="s">
        <v>5185</v>
      </c>
      <c r="F9239" s="4" t="s">
        <v>5185</v>
      </c>
    </row>
    <row r="9240" spans="1:6" x14ac:dyDescent="0.25">
      <c r="A9240" s="4" t="str">
        <f>CONCATENATE("3071-0000-9332","")</f>
        <v>3071-0000-9332</v>
      </c>
      <c r="B9240" s="4" t="s">
        <v>8386</v>
      </c>
      <c r="C9240" s="5">
        <v>41489</v>
      </c>
      <c r="D9240" s="5">
        <v>41549</v>
      </c>
      <c r="E9240" s="4" t="s">
        <v>1410</v>
      </c>
      <c r="F9240" s="4" t="s">
        <v>7967</v>
      </c>
    </row>
    <row r="9241" spans="1:6" x14ac:dyDescent="0.25">
      <c r="A9241" s="4" t="str">
        <f>CONCATENATE("3071-0000-6612","")</f>
        <v>3071-0000-6612</v>
      </c>
      <c r="B9241" s="4" t="s">
        <v>8015</v>
      </c>
      <c r="C9241" s="5">
        <v>41489</v>
      </c>
      <c r="D9241" s="5">
        <v>41549</v>
      </c>
      <c r="E9241" s="4" t="s">
        <v>5185</v>
      </c>
      <c r="F9241" s="4" t="s">
        <v>5185</v>
      </c>
    </row>
    <row r="9242" spans="1:6" x14ac:dyDescent="0.25">
      <c r="A9242" s="4" t="str">
        <f>CONCATENATE("3071-0000-8794","")</f>
        <v>3071-0000-8794</v>
      </c>
      <c r="B9242" s="4" t="s">
        <v>6566</v>
      </c>
      <c r="C9242" s="5">
        <v>41489</v>
      </c>
      <c r="D9242" s="5">
        <v>41549</v>
      </c>
      <c r="E9242" s="4" t="s">
        <v>5185</v>
      </c>
      <c r="F9242" s="4" t="s">
        <v>5292</v>
      </c>
    </row>
    <row r="9243" spans="1:6" x14ac:dyDescent="0.25">
      <c r="A9243" s="4" t="str">
        <f>CONCATENATE("3071-0000-6909","")</f>
        <v>3071-0000-6909</v>
      </c>
      <c r="B9243" s="4" t="s">
        <v>4283</v>
      </c>
      <c r="C9243" s="5">
        <v>41489</v>
      </c>
      <c r="D9243" s="5">
        <v>41549</v>
      </c>
      <c r="E9243" s="4" t="s">
        <v>1410</v>
      </c>
      <c r="F9243" s="4" t="s">
        <v>1410</v>
      </c>
    </row>
    <row r="9244" spans="1:6" x14ac:dyDescent="0.25">
      <c r="A9244" s="4" t="str">
        <f>CONCATENATE("3071-0000-0976","")</f>
        <v>3071-0000-0976</v>
      </c>
      <c r="B9244" s="4" t="s">
        <v>2189</v>
      </c>
      <c r="C9244" s="5">
        <v>41489</v>
      </c>
      <c r="D9244" s="5">
        <v>41549</v>
      </c>
      <c r="E9244" s="4" t="s">
        <v>1857</v>
      </c>
      <c r="F9244" s="4" t="s">
        <v>1857</v>
      </c>
    </row>
    <row r="9245" spans="1:6" x14ac:dyDescent="0.25">
      <c r="A9245" s="4" t="str">
        <f>CONCATENATE("3071-0000-1479","")</f>
        <v>3071-0000-1479</v>
      </c>
      <c r="B9245" s="4" t="s">
        <v>2670</v>
      </c>
      <c r="C9245" s="5">
        <v>41489</v>
      </c>
      <c r="D9245" s="5">
        <v>41549</v>
      </c>
      <c r="E9245" s="4" t="s">
        <v>1381</v>
      </c>
      <c r="F9245" s="4" t="s">
        <v>2303</v>
      </c>
    </row>
    <row r="9246" spans="1:6" x14ac:dyDescent="0.25">
      <c r="A9246" s="4" t="str">
        <f>CONCATENATE("3071-0000-7326","")</f>
        <v>3071-0000-7326</v>
      </c>
      <c r="B9246" s="4" t="s">
        <v>5123</v>
      </c>
      <c r="C9246" s="5">
        <v>41489</v>
      </c>
      <c r="D9246" s="5">
        <v>41549</v>
      </c>
      <c r="E9246" s="4" t="s">
        <v>1410</v>
      </c>
      <c r="F9246" s="4" t="s">
        <v>1410</v>
      </c>
    </row>
    <row r="9247" spans="1:6" x14ac:dyDescent="0.25">
      <c r="A9247" s="4" t="str">
        <f>CONCATENATE("3071-0000-2298","")</f>
        <v>3071-0000-2298</v>
      </c>
      <c r="B9247" s="4" t="s">
        <v>3706</v>
      </c>
      <c r="C9247" s="5">
        <v>41489</v>
      </c>
      <c r="D9247" s="5">
        <v>41549</v>
      </c>
      <c r="E9247" s="4" t="s">
        <v>2944</v>
      </c>
      <c r="F9247" s="4" t="s">
        <v>2945</v>
      </c>
    </row>
    <row r="9248" spans="1:6" x14ac:dyDescent="0.25">
      <c r="A9248" s="4" t="str">
        <f>CONCATENATE("3071-0000-6646","")</f>
        <v>3071-0000-6646</v>
      </c>
      <c r="B9248" s="4" t="s">
        <v>7973</v>
      </c>
      <c r="C9248" s="5">
        <v>41489</v>
      </c>
      <c r="D9248" s="5">
        <v>41549</v>
      </c>
      <c r="E9248" s="4" t="s">
        <v>5185</v>
      </c>
      <c r="F9248" s="4" t="s">
        <v>5185</v>
      </c>
    </row>
    <row r="9249" spans="1:6" x14ac:dyDescent="0.25">
      <c r="A9249" s="4" t="str">
        <f>CONCATENATE("3071-0000-0727","")</f>
        <v>3071-0000-0727</v>
      </c>
      <c r="B9249" s="4" t="s">
        <v>202</v>
      </c>
      <c r="C9249" s="5">
        <v>41489</v>
      </c>
      <c r="D9249" s="5">
        <v>41549</v>
      </c>
      <c r="E9249" s="4" t="s">
        <v>7</v>
      </c>
      <c r="F9249" s="4" t="s">
        <v>7</v>
      </c>
    </row>
    <row r="9250" spans="1:6" x14ac:dyDescent="0.25">
      <c r="A9250" s="4" t="str">
        <f>CONCATENATE("3071-0000-3066","")</f>
        <v>3071-0000-3066</v>
      </c>
      <c r="B9250" s="4" t="s">
        <v>892</v>
      </c>
      <c r="C9250" s="5">
        <v>41489</v>
      </c>
      <c r="D9250" s="5">
        <v>41549</v>
      </c>
      <c r="E9250" s="4" t="s">
        <v>7</v>
      </c>
      <c r="F9250" s="4" t="s">
        <v>808</v>
      </c>
    </row>
    <row r="9251" spans="1:6" x14ac:dyDescent="0.25">
      <c r="A9251" s="4" t="str">
        <f>CONCATENATE("3071-0000-3012","")</f>
        <v>3071-0000-3012</v>
      </c>
      <c r="B9251" s="4" t="s">
        <v>1400</v>
      </c>
      <c r="C9251" s="5">
        <v>41489</v>
      </c>
      <c r="D9251" s="5">
        <v>41549</v>
      </c>
      <c r="E9251" s="4" t="s">
        <v>7</v>
      </c>
      <c r="F9251" s="4" t="s">
        <v>808</v>
      </c>
    </row>
    <row r="9252" spans="1:6" x14ac:dyDescent="0.25">
      <c r="A9252" s="4" t="str">
        <f>CONCATENATE("3071-0000-8157","")</f>
        <v>3071-0000-8157</v>
      </c>
      <c r="B9252" s="4" t="s">
        <v>5407</v>
      </c>
      <c r="C9252" s="5">
        <v>41489</v>
      </c>
      <c r="D9252" s="5">
        <v>41549</v>
      </c>
      <c r="E9252" s="4" t="s">
        <v>5185</v>
      </c>
      <c r="F9252" s="4" t="s">
        <v>5185</v>
      </c>
    </row>
    <row r="9253" spans="1:6" x14ac:dyDescent="0.25">
      <c r="A9253" s="4" t="str">
        <f>CONCATENATE("3071-0000-3919","")</f>
        <v>3071-0000-3919</v>
      </c>
      <c r="B9253" s="4" t="s">
        <v>4065</v>
      </c>
      <c r="C9253" s="5">
        <v>41489</v>
      </c>
      <c r="D9253" s="5">
        <v>41549</v>
      </c>
      <c r="E9253" s="4" t="s">
        <v>1381</v>
      </c>
      <c r="F9253" s="4" t="s">
        <v>4057</v>
      </c>
    </row>
    <row r="9254" spans="1:6" x14ac:dyDescent="0.25">
      <c r="A9254" s="4" t="str">
        <f>CONCATENATE("3071-0000-5572","")</f>
        <v>3071-0000-5572</v>
      </c>
      <c r="B9254" s="4" t="s">
        <v>6991</v>
      </c>
      <c r="C9254" s="5">
        <v>41489</v>
      </c>
      <c r="D9254" s="5">
        <v>41549</v>
      </c>
      <c r="E9254" s="4" t="s">
        <v>5185</v>
      </c>
      <c r="F9254" s="4" t="s">
        <v>5185</v>
      </c>
    </row>
    <row r="9255" spans="1:6" x14ac:dyDescent="0.25">
      <c r="A9255" s="4" t="str">
        <f>CONCATENATE("3071-0000-4976","")</f>
        <v>3071-0000-4976</v>
      </c>
      <c r="B9255" s="4" t="s">
        <v>8863</v>
      </c>
      <c r="C9255" s="5">
        <v>41489</v>
      </c>
      <c r="D9255" s="5">
        <v>41549</v>
      </c>
      <c r="E9255" s="4" t="s">
        <v>1410</v>
      </c>
      <c r="F9255" s="4" t="s">
        <v>8851</v>
      </c>
    </row>
    <row r="9256" spans="1:6" x14ac:dyDescent="0.25">
      <c r="A9256" s="4" t="str">
        <f>CONCATENATE("3071-0000-4263","")</f>
        <v>3071-0000-4263</v>
      </c>
      <c r="B9256" s="4" t="s">
        <v>8932</v>
      </c>
      <c r="C9256" s="5">
        <v>41489</v>
      </c>
      <c r="D9256" s="5">
        <v>41549</v>
      </c>
      <c r="E9256" s="4" t="s">
        <v>1410</v>
      </c>
      <c r="F9256" s="4" t="s">
        <v>8696</v>
      </c>
    </row>
    <row r="9257" spans="1:6" x14ac:dyDescent="0.25">
      <c r="A9257" s="4" t="str">
        <f>CONCATENATE("3071-0000-4300","")</f>
        <v>3071-0000-4300</v>
      </c>
      <c r="B9257" s="4" t="s">
        <v>8895</v>
      </c>
      <c r="C9257" s="5">
        <v>41489</v>
      </c>
      <c r="D9257" s="5">
        <v>41549</v>
      </c>
      <c r="E9257" s="4" t="s">
        <v>1410</v>
      </c>
      <c r="F9257" s="4" t="s">
        <v>8696</v>
      </c>
    </row>
    <row r="9258" spans="1:6" x14ac:dyDescent="0.25">
      <c r="A9258" s="4" t="str">
        <f>CONCATENATE("3071-0000-4322","")</f>
        <v>3071-0000-4322</v>
      </c>
      <c r="B9258" s="4" t="s">
        <v>8914</v>
      </c>
      <c r="C9258" s="5">
        <v>41489</v>
      </c>
      <c r="D9258" s="5">
        <v>41549</v>
      </c>
      <c r="E9258" s="4" t="s">
        <v>1410</v>
      </c>
      <c r="F9258" s="4" t="s">
        <v>8696</v>
      </c>
    </row>
    <row r="9259" spans="1:6" x14ac:dyDescent="0.25">
      <c r="A9259" s="4" t="str">
        <f>CONCATENATE("3071-0000-8790","")</f>
        <v>3071-0000-8790</v>
      </c>
      <c r="B9259" s="4" t="s">
        <v>6424</v>
      </c>
      <c r="C9259" s="5">
        <v>41489</v>
      </c>
      <c r="D9259" s="5">
        <v>41549</v>
      </c>
      <c r="E9259" s="4" t="s">
        <v>5185</v>
      </c>
      <c r="F9259" s="4" t="s">
        <v>5292</v>
      </c>
    </row>
    <row r="9260" spans="1:6" x14ac:dyDescent="0.25">
      <c r="A9260" s="4" t="str">
        <f>CONCATENATE("3071-0000-5638","")</f>
        <v>3071-0000-5638</v>
      </c>
      <c r="B9260" s="4" t="s">
        <v>7261</v>
      </c>
      <c r="C9260" s="5">
        <v>41489</v>
      </c>
      <c r="D9260" s="5">
        <v>41549</v>
      </c>
      <c r="E9260" s="4" t="s">
        <v>5185</v>
      </c>
      <c r="F9260" s="4" t="s">
        <v>5185</v>
      </c>
    </row>
    <row r="9261" spans="1:6" x14ac:dyDescent="0.25">
      <c r="A9261" s="4" t="str">
        <f>CONCATENATE("3071-0000-6972","")</f>
        <v>3071-0000-6972</v>
      </c>
      <c r="B9261" s="4" t="s">
        <v>4439</v>
      </c>
      <c r="C9261" s="5">
        <v>41489</v>
      </c>
      <c r="D9261" s="5">
        <v>41549</v>
      </c>
      <c r="E9261" s="4" t="s">
        <v>1410</v>
      </c>
      <c r="F9261" s="4" t="s">
        <v>1410</v>
      </c>
    </row>
    <row r="9262" spans="1:6" x14ac:dyDescent="0.25">
      <c r="A9262" s="4" t="str">
        <f>CONCATENATE("3071-0000-4084","")</f>
        <v>3071-0000-4084</v>
      </c>
      <c r="B9262" s="4" t="s">
        <v>3897</v>
      </c>
      <c r="C9262" s="5">
        <v>41489</v>
      </c>
      <c r="D9262" s="5">
        <v>41549</v>
      </c>
      <c r="E9262" s="4" t="s">
        <v>7</v>
      </c>
      <c r="F9262" s="4" t="s">
        <v>3818</v>
      </c>
    </row>
    <row r="9263" spans="1:6" x14ac:dyDescent="0.25">
      <c r="A9263" s="4" t="str">
        <f>CONCATENATE("3071-0000-5035","")</f>
        <v>3071-0000-5035</v>
      </c>
      <c r="B9263" s="4" t="s">
        <v>9121</v>
      </c>
      <c r="C9263" s="5">
        <v>41489</v>
      </c>
      <c r="D9263" s="5">
        <v>41549</v>
      </c>
      <c r="E9263" s="4" t="s">
        <v>7069</v>
      </c>
      <c r="F9263" s="4" t="s">
        <v>9065</v>
      </c>
    </row>
    <row r="9264" spans="1:6" x14ac:dyDescent="0.25">
      <c r="A9264" s="4" t="str">
        <f>CONCATENATE("3071-0000-8044","")</f>
        <v>3071-0000-8044</v>
      </c>
      <c r="B9264" s="4" t="s">
        <v>5787</v>
      </c>
      <c r="C9264" s="5">
        <v>41489</v>
      </c>
      <c r="D9264" s="5">
        <v>41549</v>
      </c>
      <c r="E9264" s="4" t="s">
        <v>5185</v>
      </c>
      <c r="F9264" s="4" t="s">
        <v>5185</v>
      </c>
    </row>
    <row r="9265" spans="1:6" x14ac:dyDescent="0.25">
      <c r="A9265" s="4" t="str">
        <f>CONCATENATE("3071-0000-2006","")</f>
        <v>3071-0000-2006</v>
      </c>
      <c r="B9265" s="4" t="s">
        <v>3295</v>
      </c>
      <c r="C9265" s="5">
        <v>41489</v>
      </c>
      <c r="D9265" s="5">
        <v>41549</v>
      </c>
      <c r="E9265" s="4" t="s">
        <v>2944</v>
      </c>
      <c r="F9265" s="4" t="s">
        <v>2945</v>
      </c>
    </row>
    <row r="9266" spans="1:6" x14ac:dyDescent="0.25">
      <c r="A9266" s="4" t="str">
        <f>CONCATENATE("3071-0000-1081","")</f>
        <v>3071-0000-1081</v>
      </c>
      <c r="B9266" s="4" t="s">
        <v>2038</v>
      </c>
      <c r="C9266" s="5">
        <v>41489</v>
      </c>
      <c r="D9266" s="5">
        <v>41549</v>
      </c>
      <c r="E9266" s="4" t="s">
        <v>1857</v>
      </c>
      <c r="F9266" s="4" t="s">
        <v>1857</v>
      </c>
    </row>
    <row r="9267" spans="1:6" x14ac:dyDescent="0.25">
      <c r="A9267" s="4" t="str">
        <f>CONCATENATE("3071-0000-2044","")</f>
        <v>3071-0000-2044</v>
      </c>
      <c r="B9267" s="4" t="s">
        <v>3328</v>
      </c>
      <c r="C9267" s="5">
        <v>41489</v>
      </c>
      <c r="D9267" s="5">
        <v>41549</v>
      </c>
      <c r="E9267" s="4" t="s">
        <v>2944</v>
      </c>
      <c r="F9267" s="4" t="s">
        <v>2945</v>
      </c>
    </row>
    <row r="9268" spans="1:6" x14ac:dyDescent="0.25">
      <c r="A9268" s="4" t="str">
        <f>CONCATENATE("3071-0000-1027","")</f>
        <v>3071-0000-1027</v>
      </c>
      <c r="B9268" s="4" t="s">
        <v>1906</v>
      </c>
      <c r="C9268" s="5">
        <v>41489</v>
      </c>
      <c r="D9268" s="5">
        <v>41549</v>
      </c>
      <c r="E9268" s="4" t="s">
        <v>1857</v>
      </c>
      <c r="F9268" s="4" t="s">
        <v>1857</v>
      </c>
    </row>
    <row r="9269" spans="1:6" x14ac:dyDescent="0.25">
      <c r="A9269" s="4" t="str">
        <f>CONCATENATE("3071-0000-3362","")</f>
        <v>3071-0000-3362</v>
      </c>
      <c r="B9269" s="4" t="s">
        <v>1497</v>
      </c>
      <c r="C9269" s="5">
        <v>41489</v>
      </c>
      <c r="D9269" s="5">
        <v>41549</v>
      </c>
      <c r="E9269" s="4" t="s">
        <v>1410</v>
      </c>
      <c r="F9269" s="4" t="s">
        <v>1411</v>
      </c>
    </row>
    <row r="9270" spans="1:6" x14ac:dyDescent="0.25">
      <c r="A9270" s="4" t="str">
        <f>CONCATENATE("3071-0000-1342","")</f>
        <v>3071-0000-1342</v>
      </c>
      <c r="B9270" s="4" t="s">
        <v>2478</v>
      </c>
      <c r="C9270" s="5">
        <v>41489</v>
      </c>
      <c r="D9270" s="5">
        <v>41549</v>
      </c>
      <c r="E9270" s="4" t="s">
        <v>1381</v>
      </c>
      <c r="F9270" s="4" t="s">
        <v>2303</v>
      </c>
    </row>
    <row r="9271" spans="1:6" x14ac:dyDescent="0.25">
      <c r="A9271" s="4" t="str">
        <f>CONCATENATE("3071-0000-3525","")</f>
        <v>3071-0000-3525</v>
      </c>
      <c r="B9271" s="4" t="s">
        <v>1846</v>
      </c>
      <c r="C9271" s="5">
        <v>41489</v>
      </c>
      <c r="D9271" s="5">
        <v>41549</v>
      </c>
      <c r="E9271" s="4" t="s">
        <v>1410</v>
      </c>
      <c r="F9271" s="4" t="s">
        <v>1411</v>
      </c>
    </row>
    <row r="9272" spans="1:6" x14ac:dyDescent="0.25">
      <c r="A9272" s="4" t="str">
        <f>CONCATENATE("3071-0000-2097","")</f>
        <v>3071-0000-2097</v>
      </c>
      <c r="B9272" s="4" t="s">
        <v>3483</v>
      </c>
      <c r="C9272" s="5">
        <v>41489</v>
      </c>
      <c r="D9272" s="5">
        <v>41549</v>
      </c>
      <c r="E9272" s="4" t="s">
        <v>2944</v>
      </c>
      <c r="F9272" s="4" t="s">
        <v>2945</v>
      </c>
    </row>
    <row r="9273" spans="1:6" x14ac:dyDescent="0.25">
      <c r="A9273" s="4" t="str">
        <f>CONCATENATE("3071-0000-0971","")</f>
        <v>3071-0000-0971</v>
      </c>
      <c r="B9273" s="4" t="s">
        <v>2047</v>
      </c>
      <c r="C9273" s="5">
        <v>41489</v>
      </c>
      <c r="D9273" s="5">
        <v>41549</v>
      </c>
      <c r="E9273" s="4" t="s">
        <v>1857</v>
      </c>
      <c r="F9273" s="4" t="s">
        <v>1857</v>
      </c>
    </row>
    <row r="9274" spans="1:6" x14ac:dyDescent="0.25">
      <c r="A9274" s="4" t="str">
        <f>CONCATENATE("3071-0000-0921","")</f>
        <v>3071-0000-0921</v>
      </c>
      <c r="B9274" s="4" t="s">
        <v>2139</v>
      </c>
      <c r="C9274" s="5">
        <v>41489</v>
      </c>
      <c r="D9274" s="5">
        <v>41549</v>
      </c>
      <c r="E9274" s="4" t="s">
        <v>1857</v>
      </c>
      <c r="F9274" s="4" t="s">
        <v>1857</v>
      </c>
    </row>
    <row r="9275" spans="1:6" x14ac:dyDescent="0.25">
      <c r="A9275" s="4" t="str">
        <f>CONCATENATE("3071-0000-0906","")</f>
        <v>3071-0000-0906</v>
      </c>
      <c r="B9275" s="4" t="s">
        <v>1905</v>
      </c>
      <c r="C9275" s="5">
        <v>41489</v>
      </c>
      <c r="D9275" s="5">
        <v>41549</v>
      </c>
      <c r="E9275" s="4" t="s">
        <v>1857</v>
      </c>
      <c r="F9275" s="4" t="s">
        <v>1857</v>
      </c>
    </row>
    <row r="9276" spans="1:6" x14ac:dyDescent="0.25">
      <c r="A9276" s="4" t="str">
        <f>CONCATENATE("3071-0000-2431","")</f>
        <v>3071-0000-2431</v>
      </c>
      <c r="B9276" s="4" t="s">
        <v>3320</v>
      </c>
      <c r="C9276" s="5">
        <v>41489</v>
      </c>
      <c r="D9276" s="5">
        <v>41549</v>
      </c>
      <c r="E9276" s="4" t="s">
        <v>1857</v>
      </c>
      <c r="F9276" s="4" t="s">
        <v>3306</v>
      </c>
    </row>
    <row r="9277" spans="1:6" x14ac:dyDescent="0.25">
      <c r="A9277" s="4" t="str">
        <f>CONCATENATE("3071-0000-1977","")</f>
        <v>3071-0000-1977</v>
      </c>
      <c r="B9277" s="4" t="s">
        <v>3108</v>
      </c>
      <c r="C9277" s="5">
        <v>41489</v>
      </c>
      <c r="D9277" s="5">
        <v>41549</v>
      </c>
      <c r="E9277" s="4" t="s">
        <v>2944</v>
      </c>
      <c r="F9277" s="4" t="s">
        <v>2945</v>
      </c>
    </row>
    <row r="9278" spans="1:6" x14ac:dyDescent="0.25">
      <c r="A9278" s="4" t="str">
        <f>CONCATENATE("3071-0000-0505","")</f>
        <v>3071-0000-0505</v>
      </c>
      <c r="B9278" s="4" t="s">
        <v>754</v>
      </c>
      <c r="C9278" s="5">
        <v>41489</v>
      </c>
      <c r="D9278" s="5">
        <v>41549</v>
      </c>
      <c r="E9278" s="4" t="s">
        <v>7</v>
      </c>
      <c r="F9278" s="4" t="s">
        <v>273</v>
      </c>
    </row>
    <row r="9279" spans="1:6" x14ac:dyDescent="0.25">
      <c r="A9279" s="4" t="str">
        <f>CONCATENATE("3071-0000-3584","")</f>
        <v>3071-0000-3584</v>
      </c>
      <c r="B9279" s="4" t="s">
        <v>1589</v>
      </c>
      <c r="C9279" s="5">
        <v>41489</v>
      </c>
      <c r="D9279" s="5">
        <v>41549</v>
      </c>
      <c r="E9279" s="4" t="s">
        <v>1410</v>
      </c>
      <c r="F9279" s="4" t="s">
        <v>1411</v>
      </c>
    </row>
    <row r="9280" spans="1:6" x14ac:dyDescent="0.25">
      <c r="A9280" s="4" t="str">
        <f>CONCATENATE("3071-0000-3547","")</f>
        <v>3071-0000-3547</v>
      </c>
      <c r="B9280" s="4" t="s">
        <v>1508</v>
      </c>
      <c r="C9280" s="5">
        <v>41489</v>
      </c>
      <c r="D9280" s="5">
        <v>41549</v>
      </c>
      <c r="E9280" s="4" t="s">
        <v>1410</v>
      </c>
      <c r="F9280" s="4" t="s">
        <v>1411</v>
      </c>
    </row>
    <row r="9281" spans="1:6" x14ac:dyDescent="0.25">
      <c r="A9281" s="4" t="str">
        <f>CONCATENATE("3071-0000-6864","")</f>
        <v>3071-0000-6864</v>
      </c>
      <c r="B9281" s="4" t="s">
        <v>4636</v>
      </c>
      <c r="C9281" s="5">
        <v>41489</v>
      </c>
      <c r="D9281" s="5">
        <v>41549</v>
      </c>
      <c r="E9281" s="4" t="s">
        <v>1410</v>
      </c>
      <c r="F9281" s="4" t="s">
        <v>1410</v>
      </c>
    </row>
    <row r="9282" spans="1:6" x14ac:dyDescent="0.25">
      <c r="A9282" s="4" t="str">
        <f>CONCATENATE("3071-0000-3010","")</f>
        <v>3071-0000-3010</v>
      </c>
      <c r="B9282" s="4" t="s">
        <v>1047</v>
      </c>
      <c r="C9282" s="5">
        <v>41489</v>
      </c>
      <c r="D9282" s="5">
        <v>41549</v>
      </c>
      <c r="E9282" s="4" t="s">
        <v>7</v>
      </c>
      <c r="F9282" s="4" t="s">
        <v>808</v>
      </c>
    </row>
    <row r="9283" spans="1:6" x14ac:dyDescent="0.25">
      <c r="A9283" s="4" t="str">
        <f>CONCATENATE("3071-0000-2792","")</f>
        <v>3071-0000-2792</v>
      </c>
      <c r="B9283" s="4" t="s">
        <v>989</v>
      </c>
      <c r="C9283" s="5">
        <v>41489</v>
      </c>
      <c r="D9283" s="5">
        <v>41549</v>
      </c>
      <c r="E9283" s="4" t="s">
        <v>7</v>
      </c>
      <c r="F9283" s="4" t="s">
        <v>808</v>
      </c>
    </row>
    <row r="9284" spans="1:6" x14ac:dyDescent="0.25">
      <c r="A9284" s="4" t="str">
        <f>CONCATENATE("3071-0000-6741","")</f>
        <v>3071-0000-6741</v>
      </c>
      <c r="B9284" s="4" t="s">
        <v>8097</v>
      </c>
      <c r="C9284" s="5">
        <v>41489</v>
      </c>
      <c r="D9284" s="5">
        <v>41549</v>
      </c>
      <c r="E9284" s="4" t="s">
        <v>5185</v>
      </c>
      <c r="F9284" s="4" t="s">
        <v>5185</v>
      </c>
    </row>
    <row r="9285" spans="1:6" x14ac:dyDescent="0.25">
      <c r="A9285" s="4" t="str">
        <f>CONCATENATE("3071-0000-1597","")</f>
        <v>3071-0000-1597</v>
      </c>
      <c r="B9285" s="4" t="s">
        <v>2673</v>
      </c>
      <c r="C9285" s="5">
        <v>41489</v>
      </c>
      <c r="D9285" s="5">
        <v>41549</v>
      </c>
      <c r="E9285" s="4" t="s">
        <v>1381</v>
      </c>
      <c r="F9285" s="4" t="s">
        <v>2303</v>
      </c>
    </row>
    <row r="9286" spans="1:6" x14ac:dyDescent="0.25">
      <c r="A9286" s="4" t="str">
        <f>CONCATENATE("3071-0000-3613","")</f>
        <v>3071-0000-3613</v>
      </c>
      <c r="B9286" s="4" t="s">
        <v>1851</v>
      </c>
      <c r="C9286" s="5">
        <v>41489</v>
      </c>
      <c r="D9286" s="5">
        <v>41549</v>
      </c>
      <c r="E9286" s="4" t="s">
        <v>1410</v>
      </c>
      <c r="F9286" s="4" t="s">
        <v>1411</v>
      </c>
    </row>
    <row r="9287" spans="1:6" x14ac:dyDescent="0.25">
      <c r="A9287" s="4" t="str">
        <f>CONCATENATE("3071-0000-1437","")</f>
        <v>3071-0000-1437</v>
      </c>
      <c r="B9287" s="4" t="s">
        <v>2667</v>
      </c>
      <c r="C9287" s="5">
        <v>41489</v>
      </c>
      <c r="D9287" s="5">
        <v>41549</v>
      </c>
      <c r="E9287" s="4" t="s">
        <v>1381</v>
      </c>
      <c r="F9287" s="4" t="s">
        <v>2303</v>
      </c>
    </row>
    <row r="9288" spans="1:6" x14ac:dyDescent="0.25">
      <c r="A9288" s="4" t="str">
        <f>CONCATENATE("3071-0000-1653","")</f>
        <v>3071-0000-1653</v>
      </c>
      <c r="B9288" s="4" t="s">
        <v>2683</v>
      </c>
      <c r="C9288" s="5">
        <v>41489</v>
      </c>
      <c r="D9288" s="5">
        <v>41549</v>
      </c>
      <c r="E9288" s="4" t="s">
        <v>1381</v>
      </c>
      <c r="F9288" s="4" t="s">
        <v>2303</v>
      </c>
    </row>
    <row r="9289" spans="1:6" x14ac:dyDescent="0.25">
      <c r="A9289" s="4" t="str">
        <f>CONCATENATE("3071-0000-6524","")</f>
        <v>3071-0000-6524</v>
      </c>
      <c r="B9289" s="4" t="s">
        <v>7948</v>
      </c>
      <c r="C9289" s="5">
        <v>41489</v>
      </c>
      <c r="D9289" s="5">
        <v>41549</v>
      </c>
      <c r="E9289" s="4" t="s">
        <v>5185</v>
      </c>
      <c r="F9289" s="4" t="s">
        <v>5185</v>
      </c>
    </row>
    <row r="9290" spans="1:6" x14ac:dyDescent="0.25">
      <c r="A9290" s="4" t="str">
        <f>CONCATENATE("3071-0000-6700","")</f>
        <v>3071-0000-6700</v>
      </c>
      <c r="B9290" s="4" t="s">
        <v>8171</v>
      </c>
      <c r="C9290" s="5">
        <v>41489</v>
      </c>
      <c r="D9290" s="5">
        <v>41549</v>
      </c>
      <c r="E9290" s="4" t="s">
        <v>5185</v>
      </c>
      <c r="F9290" s="4" t="s">
        <v>5185</v>
      </c>
    </row>
    <row r="9291" spans="1:6" x14ac:dyDescent="0.25">
      <c r="A9291" s="4" t="str">
        <f>CONCATENATE("3071-0000-6729","")</f>
        <v>3071-0000-6729</v>
      </c>
      <c r="B9291" s="4" t="s">
        <v>8161</v>
      </c>
      <c r="C9291" s="5">
        <v>41489</v>
      </c>
      <c r="D9291" s="5">
        <v>41549</v>
      </c>
      <c r="E9291" s="4" t="s">
        <v>5185</v>
      </c>
      <c r="F9291" s="4" t="s">
        <v>5185</v>
      </c>
    </row>
    <row r="9292" spans="1:6" x14ac:dyDescent="0.25">
      <c r="A9292" s="4" t="str">
        <f>CONCATENATE("3071-0000-6645","")</f>
        <v>3071-0000-6645</v>
      </c>
      <c r="B9292" s="4" t="s">
        <v>7971</v>
      </c>
      <c r="C9292" s="5">
        <v>41489</v>
      </c>
      <c r="D9292" s="5">
        <v>41549</v>
      </c>
      <c r="E9292" s="4" t="s">
        <v>5185</v>
      </c>
      <c r="F9292" s="4" t="s">
        <v>5185</v>
      </c>
    </row>
    <row r="9293" spans="1:6" x14ac:dyDescent="0.25">
      <c r="A9293" s="4" t="str">
        <f>CONCATENATE("3071-0000-6701","")</f>
        <v>3071-0000-6701</v>
      </c>
      <c r="B9293" s="4" t="s">
        <v>8169</v>
      </c>
      <c r="C9293" s="5">
        <v>41489</v>
      </c>
      <c r="D9293" s="5">
        <v>41549</v>
      </c>
      <c r="E9293" s="4" t="s">
        <v>5185</v>
      </c>
      <c r="F9293" s="4" t="s">
        <v>5185</v>
      </c>
    </row>
    <row r="9294" spans="1:6" x14ac:dyDescent="0.25">
      <c r="A9294" s="4" t="str">
        <f>CONCATENATE("3071-0000-4353","")</f>
        <v>3071-0000-4353</v>
      </c>
      <c r="B9294" s="4" t="s">
        <v>9054</v>
      </c>
      <c r="C9294" s="5">
        <v>41489</v>
      </c>
      <c r="D9294" s="5">
        <v>41549</v>
      </c>
      <c r="E9294" s="4" t="s">
        <v>1410</v>
      </c>
      <c r="F9294" s="4" t="s">
        <v>8696</v>
      </c>
    </row>
    <row r="9295" spans="1:6" x14ac:dyDescent="0.25">
      <c r="A9295" s="4" t="str">
        <f>CONCATENATE("3071-0000-9587","")</f>
        <v>3071-0000-9587</v>
      </c>
      <c r="B9295" s="4" t="s">
        <v>8453</v>
      </c>
      <c r="C9295" s="5">
        <v>41489</v>
      </c>
      <c r="D9295" s="5">
        <v>41549</v>
      </c>
      <c r="E9295" s="4" t="s">
        <v>1410</v>
      </c>
      <c r="F9295" s="4" t="s">
        <v>4459</v>
      </c>
    </row>
    <row r="9296" spans="1:6" x14ac:dyDescent="0.25">
      <c r="A9296" s="4" t="str">
        <f>CONCATENATE("3071-0000-7060","")</f>
        <v>3071-0000-7060</v>
      </c>
      <c r="B9296" s="4" t="s">
        <v>4846</v>
      </c>
      <c r="C9296" s="5">
        <v>41489</v>
      </c>
      <c r="D9296" s="5">
        <v>41549</v>
      </c>
      <c r="E9296" s="4" t="s">
        <v>1410</v>
      </c>
      <c r="F9296" s="4" t="s">
        <v>1410</v>
      </c>
    </row>
    <row r="9297" spans="1:6" x14ac:dyDescent="0.25">
      <c r="A9297" s="4" t="str">
        <f>CONCATENATE("3071-0000-7892","")</f>
        <v>3071-0000-7892</v>
      </c>
      <c r="B9297" s="4" t="s">
        <v>5484</v>
      </c>
      <c r="C9297" s="5">
        <v>41489</v>
      </c>
      <c r="D9297" s="5">
        <v>41549</v>
      </c>
      <c r="E9297" s="4" t="s">
        <v>5185</v>
      </c>
      <c r="F9297" s="4" t="s">
        <v>5185</v>
      </c>
    </row>
    <row r="9298" spans="1:6" x14ac:dyDescent="0.25">
      <c r="A9298" s="4" t="str">
        <f>CONCATENATE("3071-0000-9253","")</f>
        <v>3071-0000-9253</v>
      </c>
      <c r="B9298" s="4" t="s">
        <v>8605</v>
      </c>
      <c r="C9298" s="5">
        <v>41489</v>
      </c>
      <c r="D9298" s="5">
        <v>41549</v>
      </c>
      <c r="E9298" s="4" t="s">
        <v>5185</v>
      </c>
      <c r="F9298" s="4" t="s">
        <v>5185</v>
      </c>
    </row>
    <row r="9299" spans="1:6" x14ac:dyDescent="0.25">
      <c r="A9299" s="4" t="str">
        <f>CONCATENATE("3071-0000-9573","")</f>
        <v>3071-0000-9573</v>
      </c>
      <c r="B9299" s="4" t="s">
        <v>8624</v>
      </c>
      <c r="C9299" s="5">
        <v>41489</v>
      </c>
      <c r="D9299" s="5">
        <v>41549</v>
      </c>
      <c r="E9299" s="4" t="s">
        <v>1410</v>
      </c>
      <c r="F9299" s="4" t="s">
        <v>4459</v>
      </c>
    </row>
    <row r="9300" spans="1:6" x14ac:dyDescent="0.25">
      <c r="A9300" s="4" t="str">
        <f>CONCATENATE("3071-0000-2400","")</f>
        <v>3071-0000-2400</v>
      </c>
      <c r="B9300" s="4" t="s">
        <v>3053</v>
      </c>
      <c r="C9300" s="5">
        <v>41489</v>
      </c>
      <c r="D9300" s="5">
        <v>41549</v>
      </c>
      <c r="E9300" s="4" t="s">
        <v>2944</v>
      </c>
      <c r="F9300" s="4" t="s">
        <v>2945</v>
      </c>
    </row>
    <row r="9301" spans="1:6" x14ac:dyDescent="0.25">
      <c r="A9301" s="4" t="str">
        <f>CONCATENATE("3071-0000-0838","")</f>
        <v>3071-0000-0838</v>
      </c>
      <c r="B9301" s="4" t="s">
        <v>1910</v>
      </c>
      <c r="C9301" s="5">
        <v>41489</v>
      </c>
      <c r="D9301" s="5">
        <v>41549</v>
      </c>
      <c r="E9301" s="4" t="s">
        <v>1857</v>
      </c>
      <c r="F9301" s="4" t="s">
        <v>1857</v>
      </c>
    </row>
    <row r="9302" spans="1:6" x14ac:dyDescent="0.25">
      <c r="A9302" s="4" t="str">
        <f>CONCATENATE("3071-0000-5034","")</f>
        <v>3071-0000-5034</v>
      </c>
      <c r="B9302" s="4" t="s">
        <v>9114</v>
      </c>
      <c r="C9302" s="5">
        <v>41489</v>
      </c>
      <c r="D9302" s="5">
        <v>41549</v>
      </c>
      <c r="E9302" s="4" t="s">
        <v>7069</v>
      </c>
      <c r="F9302" s="4" t="s">
        <v>9065</v>
      </c>
    </row>
    <row r="9303" spans="1:6" x14ac:dyDescent="0.25">
      <c r="A9303" s="4" t="str">
        <f>CONCATENATE("3071-0000-3376","")</f>
        <v>3071-0000-3376</v>
      </c>
      <c r="B9303" s="4" t="s">
        <v>1518</v>
      </c>
      <c r="C9303" s="5">
        <v>41489</v>
      </c>
      <c r="D9303" s="5">
        <v>41549</v>
      </c>
      <c r="E9303" s="4" t="s">
        <v>1410</v>
      </c>
      <c r="F9303" s="4" t="s">
        <v>1411</v>
      </c>
    </row>
    <row r="9304" spans="1:6" x14ac:dyDescent="0.25">
      <c r="A9304" s="4" t="str">
        <f>CONCATENATE("3071-0000-8656","")</f>
        <v>3071-0000-8656</v>
      </c>
      <c r="B9304" s="4" t="s">
        <v>6410</v>
      </c>
      <c r="C9304" s="5">
        <v>41489</v>
      </c>
      <c r="D9304" s="5">
        <v>41549</v>
      </c>
      <c r="E9304" s="4" t="s">
        <v>5185</v>
      </c>
      <c r="F9304" s="4" t="s">
        <v>5292</v>
      </c>
    </row>
    <row r="9305" spans="1:6" x14ac:dyDescent="0.25">
      <c r="A9305" s="4" t="str">
        <f>CONCATENATE("3071-0000-8769","")</f>
        <v>3071-0000-8769</v>
      </c>
      <c r="B9305" s="4" t="s">
        <v>6409</v>
      </c>
      <c r="C9305" s="5">
        <v>41489</v>
      </c>
      <c r="D9305" s="5">
        <v>41549</v>
      </c>
      <c r="E9305" s="4" t="s">
        <v>5185</v>
      </c>
      <c r="F9305" s="4" t="s">
        <v>5292</v>
      </c>
    </row>
    <row r="9306" spans="1:6" x14ac:dyDescent="0.25">
      <c r="A9306" s="4" t="str">
        <f>CONCATENATE("3071-0000-7651","")</f>
        <v>3071-0000-7651</v>
      </c>
      <c r="B9306" s="4" t="s">
        <v>4888</v>
      </c>
      <c r="C9306" s="5">
        <v>41489</v>
      </c>
      <c r="D9306" s="5">
        <v>41549</v>
      </c>
      <c r="E9306" s="4" t="s">
        <v>1410</v>
      </c>
      <c r="F9306" s="4" t="s">
        <v>4655</v>
      </c>
    </row>
    <row r="9307" spans="1:6" x14ac:dyDescent="0.25">
      <c r="A9307" s="4" t="str">
        <f>CONCATENATE("3071-0000-4218","")</f>
        <v>3071-0000-4218</v>
      </c>
      <c r="B9307" s="4" t="s">
        <v>4113</v>
      </c>
      <c r="C9307" s="5">
        <v>41489</v>
      </c>
      <c r="D9307" s="5">
        <v>41549</v>
      </c>
      <c r="E9307" s="4" t="s">
        <v>7</v>
      </c>
      <c r="F9307" s="4" t="s">
        <v>3902</v>
      </c>
    </row>
    <row r="9308" spans="1:6" x14ac:dyDescent="0.25">
      <c r="A9308" s="4" t="str">
        <f>CONCATENATE("3071-0000-4112","")</f>
        <v>3071-0000-4112</v>
      </c>
      <c r="B9308" s="4" t="s">
        <v>4187</v>
      </c>
      <c r="C9308" s="5">
        <v>41489</v>
      </c>
      <c r="D9308" s="5">
        <v>41549</v>
      </c>
      <c r="E9308" s="4" t="s">
        <v>7</v>
      </c>
      <c r="F9308" s="4" t="s">
        <v>1419</v>
      </c>
    </row>
    <row r="9309" spans="1:6" x14ac:dyDescent="0.25">
      <c r="A9309" s="4" t="str">
        <f>CONCATENATE("3071-0000-5660","")</f>
        <v>3071-0000-5660</v>
      </c>
      <c r="B9309" s="4" t="s">
        <v>7486</v>
      </c>
      <c r="C9309" s="5">
        <v>41489</v>
      </c>
      <c r="D9309" s="5">
        <v>41549</v>
      </c>
      <c r="E9309" s="4" t="s">
        <v>5185</v>
      </c>
      <c r="F9309" s="4" t="s">
        <v>5185</v>
      </c>
    </row>
    <row r="9310" spans="1:6" x14ac:dyDescent="0.25">
      <c r="A9310" s="4" t="str">
        <f>CONCATENATE("3071-0000-7491","")</f>
        <v>3071-0000-7491</v>
      </c>
      <c r="B9310" s="4" t="s">
        <v>4758</v>
      </c>
      <c r="C9310" s="5">
        <v>41489</v>
      </c>
      <c r="D9310" s="5">
        <v>41549</v>
      </c>
      <c r="E9310" s="4" t="s">
        <v>1410</v>
      </c>
      <c r="F9310" s="4" t="s">
        <v>4655</v>
      </c>
    </row>
    <row r="9311" spans="1:6" x14ac:dyDescent="0.25">
      <c r="A9311" s="4" t="str">
        <f>CONCATENATE("3071-0000-7747","")</f>
        <v>3071-0000-7747</v>
      </c>
      <c r="B9311" s="4" t="s">
        <v>4782</v>
      </c>
      <c r="C9311" s="5">
        <v>41489</v>
      </c>
      <c r="D9311" s="5">
        <v>41549</v>
      </c>
      <c r="E9311" s="4" t="s">
        <v>1410</v>
      </c>
      <c r="F9311" s="4" t="s">
        <v>4655</v>
      </c>
    </row>
    <row r="9312" spans="1:6" x14ac:dyDescent="0.25">
      <c r="A9312" s="4" t="str">
        <f>CONCATENATE("3071-0000-6570","")</f>
        <v>3071-0000-6570</v>
      </c>
      <c r="B9312" s="4" t="s">
        <v>7819</v>
      </c>
      <c r="C9312" s="5">
        <v>41489</v>
      </c>
      <c r="D9312" s="5">
        <v>41549</v>
      </c>
      <c r="E9312" s="4" t="s">
        <v>5185</v>
      </c>
      <c r="F9312" s="4" t="s">
        <v>5185</v>
      </c>
    </row>
    <row r="9313" spans="1:6" x14ac:dyDescent="0.25">
      <c r="A9313" s="4" t="str">
        <f>CONCATENATE("3071-0000-9062","")</f>
        <v>3071-0000-9062</v>
      </c>
      <c r="B9313" s="4" t="s">
        <v>5817</v>
      </c>
      <c r="C9313" s="5">
        <v>41489</v>
      </c>
      <c r="D9313" s="5">
        <v>41549</v>
      </c>
      <c r="E9313" s="4" t="s">
        <v>5185</v>
      </c>
      <c r="F9313" s="4" t="s">
        <v>5763</v>
      </c>
    </row>
    <row r="9314" spans="1:6" x14ac:dyDescent="0.25">
      <c r="A9314" s="4" t="str">
        <f>CONCATENATE("3071-0000-5659","")</f>
        <v>3071-0000-5659</v>
      </c>
      <c r="B9314" s="4" t="s">
        <v>7484</v>
      </c>
      <c r="C9314" s="5">
        <v>41489</v>
      </c>
      <c r="D9314" s="5">
        <v>41549</v>
      </c>
      <c r="E9314" s="4" t="s">
        <v>5185</v>
      </c>
      <c r="F9314" s="4" t="s">
        <v>5185</v>
      </c>
    </row>
    <row r="9315" spans="1:6" x14ac:dyDescent="0.25">
      <c r="A9315" s="4" t="str">
        <f>CONCATENATE("3071-0000-5795","")</f>
        <v>3071-0000-5795</v>
      </c>
      <c r="B9315" s="4" t="s">
        <v>7500</v>
      </c>
      <c r="C9315" s="5">
        <v>41489</v>
      </c>
      <c r="D9315" s="5">
        <v>41549</v>
      </c>
      <c r="E9315" s="4" t="s">
        <v>5185</v>
      </c>
      <c r="F9315" s="4" t="s">
        <v>5185</v>
      </c>
    </row>
    <row r="9316" spans="1:6" x14ac:dyDescent="0.25">
      <c r="A9316" s="4" t="str">
        <f>CONCATENATE("3071-0000-8405","")</f>
        <v>3071-0000-8405</v>
      </c>
      <c r="B9316" s="4" t="s">
        <v>5942</v>
      </c>
      <c r="C9316" s="5">
        <v>41489</v>
      </c>
      <c r="D9316" s="5">
        <v>41549</v>
      </c>
      <c r="E9316" s="4" t="s">
        <v>5185</v>
      </c>
      <c r="F9316" s="4" t="s">
        <v>5185</v>
      </c>
    </row>
    <row r="9317" spans="1:6" x14ac:dyDescent="0.25">
      <c r="A9317" s="4" t="str">
        <f>CONCATENATE("3071-0000-7800","")</f>
        <v>3071-0000-7800</v>
      </c>
      <c r="B9317" s="4" t="s">
        <v>5214</v>
      </c>
      <c r="C9317" s="5">
        <v>41489</v>
      </c>
      <c r="D9317" s="5">
        <v>41549</v>
      </c>
      <c r="E9317" s="4" t="s">
        <v>5185</v>
      </c>
      <c r="F9317" s="4" t="s">
        <v>5185</v>
      </c>
    </row>
    <row r="9318" spans="1:6" x14ac:dyDescent="0.25">
      <c r="A9318" s="4" t="str">
        <f>CONCATENATE("3071-0000-8059","")</f>
        <v>3071-0000-8059</v>
      </c>
      <c r="B9318" s="4" t="s">
        <v>5891</v>
      </c>
      <c r="C9318" s="5">
        <v>41489</v>
      </c>
      <c r="D9318" s="5">
        <v>41549</v>
      </c>
      <c r="E9318" s="4" t="s">
        <v>5185</v>
      </c>
      <c r="F9318" s="4" t="s">
        <v>5185</v>
      </c>
    </row>
    <row r="9319" spans="1:6" x14ac:dyDescent="0.25">
      <c r="A9319" s="4" t="str">
        <f>CONCATENATE("3071-0000-8432","")</f>
        <v>3071-0000-8432</v>
      </c>
      <c r="B9319" s="4" t="s">
        <v>5274</v>
      </c>
      <c r="C9319" s="5">
        <v>41489</v>
      </c>
      <c r="D9319" s="5">
        <v>41549</v>
      </c>
      <c r="E9319" s="4" t="s">
        <v>5185</v>
      </c>
      <c r="F9319" s="4" t="s">
        <v>5185</v>
      </c>
    </row>
    <row r="9320" spans="1:6" x14ac:dyDescent="0.25">
      <c r="A9320" s="4" t="str">
        <f>CONCATENATE("3071-0000-8066","")</f>
        <v>3071-0000-8066</v>
      </c>
      <c r="B9320" s="4" t="s">
        <v>5895</v>
      </c>
      <c r="C9320" s="5">
        <v>41489</v>
      </c>
      <c r="D9320" s="5">
        <v>41549</v>
      </c>
      <c r="E9320" s="4" t="s">
        <v>5185</v>
      </c>
      <c r="F9320" s="4" t="s">
        <v>5185</v>
      </c>
    </row>
    <row r="9321" spans="1:6" x14ac:dyDescent="0.25">
      <c r="A9321" s="4" t="str">
        <f>CONCATENATE("3071-0000-8064","")</f>
        <v>3071-0000-8064</v>
      </c>
      <c r="B9321" s="4" t="s">
        <v>5893</v>
      </c>
      <c r="C9321" s="5">
        <v>41489</v>
      </c>
      <c r="D9321" s="5">
        <v>41549</v>
      </c>
      <c r="E9321" s="4" t="s">
        <v>5185</v>
      </c>
      <c r="F9321" s="4" t="s">
        <v>5185</v>
      </c>
    </row>
    <row r="9322" spans="1:6" x14ac:dyDescent="0.25">
      <c r="A9322" s="4" t="str">
        <f>CONCATENATE("3071-0000-8825","")</f>
        <v>3071-0000-8825</v>
      </c>
      <c r="B9322" s="4" t="s">
        <v>5928</v>
      </c>
      <c r="C9322" s="5">
        <v>41489</v>
      </c>
      <c r="D9322" s="5">
        <v>41549</v>
      </c>
      <c r="E9322" s="4" t="s">
        <v>5185</v>
      </c>
      <c r="F9322" s="4" t="s">
        <v>4188</v>
      </c>
    </row>
    <row r="9323" spans="1:6" x14ac:dyDescent="0.25">
      <c r="A9323" s="4" t="str">
        <f>CONCATENATE("3071-0000-8818","")</f>
        <v>3071-0000-8818</v>
      </c>
      <c r="B9323" s="4" t="s">
        <v>5922</v>
      </c>
      <c r="C9323" s="5">
        <v>41489</v>
      </c>
      <c r="D9323" s="5">
        <v>41549</v>
      </c>
      <c r="E9323" s="4" t="s">
        <v>5185</v>
      </c>
      <c r="F9323" s="4" t="s">
        <v>4188</v>
      </c>
    </row>
    <row r="9324" spans="1:6" x14ac:dyDescent="0.25">
      <c r="A9324" s="4" t="str">
        <f>CONCATENATE("3071-0000-8749","")</f>
        <v>3071-0000-8749</v>
      </c>
      <c r="B9324" s="4" t="s">
        <v>6427</v>
      </c>
      <c r="C9324" s="5">
        <v>41489</v>
      </c>
      <c r="D9324" s="5">
        <v>41549</v>
      </c>
      <c r="E9324" s="4" t="s">
        <v>5185</v>
      </c>
      <c r="F9324" s="4" t="s">
        <v>5292</v>
      </c>
    </row>
    <row r="9325" spans="1:6" x14ac:dyDescent="0.25">
      <c r="A9325" s="4" t="str">
        <f>CONCATENATE("3071-0000-8231","")</f>
        <v>3071-0000-8231</v>
      </c>
      <c r="B9325" s="4" t="s">
        <v>5726</v>
      </c>
      <c r="C9325" s="5">
        <v>41489</v>
      </c>
      <c r="D9325" s="5">
        <v>41549</v>
      </c>
      <c r="E9325" s="4" t="s">
        <v>5185</v>
      </c>
      <c r="F9325" s="4" t="s">
        <v>5185</v>
      </c>
    </row>
    <row r="9326" spans="1:6" x14ac:dyDescent="0.25">
      <c r="A9326" s="4" t="str">
        <f>CONCATENATE("3071-0000-7336","")</f>
        <v>3071-0000-7336</v>
      </c>
      <c r="B9326" s="4" t="s">
        <v>4605</v>
      </c>
      <c r="C9326" s="5">
        <v>41489</v>
      </c>
      <c r="D9326" s="5">
        <v>41549</v>
      </c>
      <c r="E9326" s="4" t="s">
        <v>1410</v>
      </c>
      <c r="F9326" s="4" t="s">
        <v>1410</v>
      </c>
    </row>
    <row r="9327" spans="1:6" x14ac:dyDescent="0.25">
      <c r="A9327" s="4" t="str">
        <f>CONCATENATE("3071-0000-8620","")</f>
        <v>3071-0000-8620</v>
      </c>
      <c r="B9327" s="4" t="s">
        <v>5808</v>
      </c>
      <c r="C9327" s="5">
        <v>41489</v>
      </c>
      <c r="D9327" s="5">
        <v>41549</v>
      </c>
      <c r="E9327" s="4" t="s">
        <v>5185</v>
      </c>
      <c r="F9327" s="4" t="s">
        <v>5763</v>
      </c>
    </row>
    <row r="9328" spans="1:6" x14ac:dyDescent="0.25">
      <c r="A9328" s="4" t="str">
        <f>CONCATENATE("3071-0000-8067","")</f>
        <v>3071-0000-8067</v>
      </c>
      <c r="B9328" s="4" t="s">
        <v>5892</v>
      </c>
      <c r="C9328" s="5">
        <v>41489</v>
      </c>
      <c r="D9328" s="5">
        <v>41549</v>
      </c>
      <c r="E9328" s="4" t="s">
        <v>5185</v>
      </c>
      <c r="F9328" s="4" t="s">
        <v>5185</v>
      </c>
    </row>
    <row r="9329" spans="1:6" x14ac:dyDescent="0.25">
      <c r="A9329" s="4" t="str">
        <f>CONCATENATE("3071-0000-1859","")</f>
        <v>3071-0000-1859</v>
      </c>
      <c r="B9329" s="4" t="s">
        <v>2357</v>
      </c>
      <c r="C9329" s="5">
        <v>41489</v>
      </c>
      <c r="D9329" s="5">
        <v>41549</v>
      </c>
      <c r="E9329" s="4" t="s">
        <v>1381</v>
      </c>
      <c r="F9329" s="4" t="s">
        <v>2319</v>
      </c>
    </row>
    <row r="9330" spans="1:6" x14ac:dyDescent="0.25">
      <c r="A9330" s="4" t="str">
        <f>CONCATENATE("3071-0000-1244","")</f>
        <v>3071-0000-1244</v>
      </c>
      <c r="B9330" s="4" t="s">
        <v>2330</v>
      </c>
      <c r="C9330" s="5">
        <v>41489</v>
      </c>
      <c r="D9330" s="5">
        <v>41549</v>
      </c>
      <c r="E9330" s="4" t="s">
        <v>1381</v>
      </c>
      <c r="F9330" s="4" t="s">
        <v>2303</v>
      </c>
    </row>
    <row r="9331" spans="1:6" x14ac:dyDescent="0.25">
      <c r="A9331" s="4" t="str">
        <f>CONCATENATE("3071-0000-0176","")</f>
        <v>3071-0000-0176</v>
      </c>
      <c r="B9331" s="4" t="s">
        <v>367</v>
      </c>
      <c r="C9331" s="5">
        <v>41489</v>
      </c>
      <c r="D9331" s="5">
        <v>41549</v>
      </c>
      <c r="E9331" s="4" t="s">
        <v>7</v>
      </c>
      <c r="F9331" s="4" t="s">
        <v>7</v>
      </c>
    </row>
    <row r="9332" spans="1:6" x14ac:dyDescent="0.25">
      <c r="A9332" s="4" t="str">
        <f>CONCATENATE("3071-0000-0402","")</f>
        <v>3071-0000-0402</v>
      </c>
      <c r="B9332" s="4" t="s">
        <v>688</v>
      </c>
      <c r="C9332" s="5">
        <v>41489</v>
      </c>
      <c r="D9332" s="5">
        <v>41549</v>
      </c>
      <c r="E9332" s="4" t="s">
        <v>7</v>
      </c>
      <c r="F9332" s="4" t="s">
        <v>7</v>
      </c>
    </row>
    <row r="9333" spans="1:6" x14ac:dyDescent="0.25">
      <c r="A9333" s="4" t="str">
        <f>CONCATENATE("3071-0000-0406","")</f>
        <v>3071-0000-0406</v>
      </c>
      <c r="B9333" s="4" t="s">
        <v>684</v>
      </c>
      <c r="C9333" s="5">
        <v>41489</v>
      </c>
      <c r="D9333" s="5">
        <v>41549</v>
      </c>
      <c r="E9333" s="4" t="s">
        <v>7</v>
      </c>
      <c r="F9333" s="4" t="s">
        <v>7</v>
      </c>
    </row>
    <row r="9334" spans="1:6" x14ac:dyDescent="0.25">
      <c r="A9334" s="4" t="str">
        <f>CONCATENATE("3071-0000-0401","")</f>
        <v>3071-0000-0401</v>
      </c>
      <c r="B9334" s="4" t="s">
        <v>683</v>
      </c>
      <c r="C9334" s="5">
        <v>41489</v>
      </c>
      <c r="D9334" s="5">
        <v>41549</v>
      </c>
      <c r="E9334" s="4" t="s">
        <v>7</v>
      </c>
      <c r="F9334" s="4" t="s">
        <v>7</v>
      </c>
    </row>
    <row r="9335" spans="1:6" x14ac:dyDescent="0.25">
      <c r="A9335" s="4" t="str">
        <f>CONCATENATE("3071-0000-0200","")</f>
        <v>3071-0000-0200</v>
      </c>
      <c r="B9335" s="4" t="s">
        <v>435</v>
      </c>
      <c r="C9335" s="5">
        <v>41489</v>
      </c>
      <c r="D9335" s="5">
        <v>41549</v>
      </c>
      <c r="E9335" s="4" t="s">
        <v>7</v>
      </c>
      <c r="F9335" s="4" t="s">
        <v>7</v>
      </c>
    </row>
    <row r="9336" spans="1:6" x14ac:dyDescent="0.25">
      <c r="A9336" s="4" t="str">
        <f>CONCATENATE("3071-0000-1010","")</f>
        <v>3071-0000-1010</v>
      </c>
      <c r="B9336" s="4" t="s">
        <v>2232</v>
      </c>
      <c r="C9336" s="5">
        <v>41489</v>
      </c>
      <c r="D9336" s="5">
        <v>41549</v>
      </c>
      <c r="E9336" s="4" t="s">
        <v>1381</v>
      </c>
      <c r="F9336" s="4" t="s">
        <v>2215</v>
      </c>
    </row>
    <row r="9337" spans="1:6" x14ac:dyDescent="0.25">
      <c r="A9337" s="4" t="str">
        <f>CONCATENATE("3071-0000-0492","")</f>
        <v>3071-0000-0492</v>
      </c>
      <c r="B9337" s="4" t="s">
        <v>299</v>
      </c>
      <c r="C9337" s="5">
        <v>41489</v>
      </c>
      <c r="D9337" s="5">
        <v>41549</v>
      </c>
      <c r="E9337" s="4" t="s">
        <v>7</v>
      </c>
      <c r="F9337" s="4" t="s">
        <v>7</v>
      </c>
    </row>
    <row r="9338" spans="1:6" x14ac:dyDescent="0.25">
      <c r="A9338" s="4" t="str">
        <f>CONCATENATE("3071-0000-5415","")</f>
        <v>3071-0000-5415</v>
      </c>
      <c r="B9338" s="4" t="s">
        <v>6906</v>
      </c>
      <c r="C9338" s="5">
        <v>41489</v>
      </c>
      <c r="D9338" s="5">
        <v>41549</v>
      </c>
      <c r="E9338" s="4" t="s">
        <v>5185</v>
      </c>
      <c r="F9338" s="4" t="s">
        <v>5185</v>
      </c>
    </row>
    <row r="9339" spans="1:6" x14ac:dyDescent="0.25">
      <c r="A9339" s="4" t="str">
        <f>CONCATENATE("3071-0000-3400","")</f>
        <v>3071-0000-3400</v>
      </c>
      <c r="B9339" s="4" t="s">
        <v>1556</v>
      </c>
      <c r="C9339" s="5">
        <v>41489</v>
      </c>
      <c r="D9339" s="5">
        <v>41549</v>
      </c>
      <c r="E9339" s="4" t="s">
        <v>1410</v>
      </c>
      <c r="F9339" s="4" t="s">
        <v>1411</v>
      </c>
    </row>
    <row r="9340" spans="1:6" x14ac:dyDescent="0.25">
      <c r="A9340" s="4" t="str">
        <f>CONCATENATE("3071-0000-7255","")</f>
        <v>3071-0000-7255</v>
      </c>
      <c r="B9340" s="4" t="s">
        <v>4900</v>
      </c>
      <c r="C9340" s="5">
        <v>41489</v>
      </c>
      <c r="D9340" s="5">
        <v>41549</v>
      </c>
      <c r="E9340" s="4" t="s">
        <v>1410</v>
      </c>
      <c r="F9340" s="4" t="s">
        <v>1410</v>
      </c>
    </row>
    <row r="9341" spans="1:6" x14ac:dyDescent="0.25">
      <c r="A9341" s="4" t="str">
        <f>CONCATENATE("3071-0000-8756","")</f>
        <v>3071-0000-8756</v>
      </c>
      <c r="B9341" s="4" t="s">
        <v>6391</v>
      </c>
      <c r="C9341" s="5">
        <v>41489</v>
      </c>
      <c r="D9341" s="5">
        <v>41549</v>
      </c>
      <c r="E9341" s="4" t="s">
        <v>5185</v>
      </c>
      <c r="F9341" s="4" t="s">
        <v>5292</v>
      </c>
    </row>
    <row r="9342" spans="1:6" x14ac:dyDescent="0.25">
      <c r="A9342" s="4" t="str">
        <f>CONCATENATE("3071-0000-9065","")</f>
        <v>3071-0000-9065</v>
      </c>
      <c r="B9342" s="4" t="s">
        <v>5816</v>
      </c>
      <c r="C9342" s="5">
        <v>41489</v>
      </c>
      <c r="D9342" s="5">
        <v>41549</v>
      </c>
      <c r="E9342" s="4" t="s">
        <v>5185</v>
      </c>
      <c r="F9342" s="4" t="s">
        <v>5763</v>
      </c>
    </row>
    <row r="9343" spans="1:6" x14ac:dyDescent="0.25">
      <c r="A9343" s="4" t="str">
        <f>CONCATENATE("3071-0000-8521","")</f>
        <v>3071-0000-8521</v>
      </c>
      <c r="B9343" s="4" t="s">
        <v>5792</v>
      </c>
      <c r="C9343" s="5">
        <v>41489</v>
      </c>
      <c r="D9343" s="5">
        <v>41549</v>
      </c>
      <c r="E9343" s="4" t="s">
        <v>5185</v>
      </c>
      <c r="F9343" s="4" t="s">
        <v>5763</v>
      </c>
    </row>
    <row r="9344" spans="1:6" x14ac:dyDescent="0.25">
      <c r="A9344" s="4" t="str">
        <f>CONCATENATE("3071-0000-8887","")</f>
        <v>3071-0000-8887</v>
      </c>
      <c r="B9344" s="4" t="s">
        <v>5852</v>
      </c>
      <c r="C9344" s="5">
        <v>41489</v>
      </c>
      <c r="D9344" s="5">
        <v>41549</v>
      </c>
      <c r="E9344" s="4" t="s">
        <v>5185</v>
      </c>
      <c r="F9344" s="4" t="s">
        <v>4188</v>
      </c>
    </row>
    <row r="9345" spans="1:6" x14ac:dyDescent="0.25">
      <c r="A9345" s="4" t="str">
        <f>CONCATENATE("3071-0000-8100","")</f>
        <v>3071-0000-8100</v>
      </c>
      <c r="B9345" s="4" t="s">
        <v>6009</v>
      </c>
      <c r="C9345" s="5">
        <v>41489</v>
      </c>
      <c r="D9345" s="5">
        <v>41549</v>
      </c>
      <c r="E9345" s="4" t="s">
        <v>5185</v>
      </c>
      <c r="F9345" s="4" t="s">
        <v>5185</v>
      </c>
    </row>
    <row r="9346" spans="1:6" x14ac:dyDescent="0.25">
      <c r="A9346" s="4" t="str">
        <f>CONCATENATE("3071-0000-8330","")</f>
        <v>3071-0000-8330</v>
      </c>
      <c r="B9346" s="4" t="s">
        <v>5857</v>
      </c>
      <c r="C9346" s="5">
        <v>41489</v>
      </c>
      <c r="D9346" s="5">
        <v>41549</v>
      </c>
      <c r="E9346" s="4" t="s">
        <v>5185</v>
      </c>
      <c r="F9346" s="4" t="s">
        <v>5185</v>
      </c>
    </row>
    <row r="9347" spans="1:6" x14ac:dyDescent="0.25">
      <c r="A9347" s="4" t="str">
        <f>CONCATENATE("3071-0000-8576","")</f>
        <v>3071-0000-8576</v>
      </c>
      <c r="B9347" s="4" t="s">
        <v>6065</v>
      </c>
      <c r="C9347" s="5">
        <v>41489</v>
      </c>
      <c r="D9347" s="5">
        <v>41549</v>
      </c>
      <c r="E9347" s="4" t="s">
        <v>5185</v>
      </c>
      <c r="F9347" s="4" t="s">
        <v>5945</v>
      </c>
    </row>
    <row r="9348" spans="1:6" x14ac:dyDescent="0.25">
      <c r="A9348" s="4" t="str">
        <f>CONCATENATE("3071-0000-8471","")</f>
        <v>3071-0000-8471</v>
      </c>
      <c r="B9348" s="4" t="s">
        <v>6058</v>
      </c>
      <c r="C9348" s="5">
        <v>41489</v>
      </c>
      <c r="D9348" s="5">
        <v>41549</v>
      </c>
      <c r="E9348" s="4" t="s">
        <v>5185</v>
      </c>
      <c r="F9348" s="4" t="s">
        <v>5945</v>
      </c>
    </row>
    <row r="9349" spans="1:6" x14ac:dyDescent="0.25">
      <c r="A9349" s="4" t="str">
        <f>CONCATENATE("3071-0000-5331","")</f>
        <v>3071-0000-5331</v>
      </c>
      <c r="B9349" s="4" t="s">
        <v>6686</v>
      </c>
      <c r="C9349" s="5">
        <v>41489</v>
      </c>
      <c r="D9349" s="5">
        <v>41549</v>
      </c>
      <c r="E9349" s="4" t="s">
        <v>5185</v>
      </c>
      <c r="F9349" s="4" t="s">
        <v>5185</v>
      </c>
    </row>
    <row r="9350" spans="1:6" x14ac:dyDescent="0.25">
      <c r="A9350" s="4" t="str">
        <f>CONCATENATE("3071-0000-5233","")</f>
        <v>3071-0000-5233</v>
      </c>
      <c r="B9350" s="4" t="s">
        <v>6684</v>
      </c>
      <c r="C9350" s="5">
        <v>41489</v>
      </c>
      <c r="D9350" s="5">
        <v>41549</v>
      </c>
      <c r="E9350" s="4" t="s">
        <v>5185</v>
      </c>
      <c r="F9350" s="4" t="s">
        <v>5185</v>
      </c>
    </row>
    <row r="9351" spans="1:6" x14ac:dyDescent="0.25">
      <c r="A9351" s="4" t="str">
        <f>CONCATENATE("3071-0000-8831","")</f>
        <v>3071-0000-8831</v>
      </c>
      <c r="B9351" s="4" t="s">
        <v>5785</v>
      </c>
      <c r="C9351" s="5">
        <v>41489</v>
      </c>
      <c r="D9351" s="5">
        <v>41549</v>
      </c>
      <c r="E9351" s="4" t="s">
        <v>5185</v>
      </c>
      <c r="F9351" s="4" t="s">
        <v>5763</v>
      </c>
    </row>
    <row r="9352" spans="1:6" x14ac:dyDescent="0.25">
      <c r="A9352" s="4" t="str">
        <f>CONCATENATE("3071-0000-5253","")</f>
        <v>3071-0000-5253</v>
      </c>
      <c r="B9352" s="4" t="s">
        <v>6708</v>
      </c>
      <c r="C9352" s="5">
        <v>41489</v>
      </c>
      <c r="D9352" s="5">
        <v>41549</v>
      </c>
      <c r="E9352" s="4" t="s">
        <v>5185</v>
      </c>
      <c r="F9352" s="4" t="s">
        <v>5185</v>
      </c>
    </row>
    <row r="9353" spans="1:6" x14ac:dyDescent="0.25">
      <c r="A9353" s="4" t="str">
        <f>CONCATENATE("3071-0000-8477","")</f>
        <v>3071-0000-8477</v>
      </c>
      <c r="B9353" s="4" t="s">
        <v>6060</v>
      </c>
      <c r="C9353" s="5">
        <v>41489</v>
      </c>
      <c r="D9353" s="5">
        <v>41549</v>
      </c>
      <c r="E9353" s="4" t="s">
        <v>5185</v>
      </c>
      <c r="F9353" s="4" t="s">
        <v>5945</v>
      </c>
    </row>
    <row r="9354" spans="1:6" x14ac:dyDescent="0.25">
      <c r="A9354" s="4" t="str">
        <f>CONCATENATE("3071-0000-8356","")</f>
        <v>3071-0000-8356</v>
      </c>
      <c r="B9354" s="4" t="s">
        <v>6013</v>
      </c>
      <c r="C9354" s="5">
        <v>41489</v>
      </c>
      <c r="D9354" s="5">
        <v>41549</v>
      </c>
      <c r="E9354" s="4" t="s">
        <v>5185</v>
      </c>
      <c r="F9354" s="4" t="s">
        <v>5185</v>
      </c>
    </row>
    <row r="9355" spans="1:6" x14ac:dyDescent="0.25">
      <c r="A9355" s="4" t="str">
        <f>CONCATENATE("3071-0000-8475","")</f>
        <v>3071-0000-8475</v>
      </c>
      <c r="B9355" s="4" t="s">
        <v>6062</v>
      </c>
      <c r="C9355" s="5">
        <v>41489</v>
      </c>
      <c r="D9355" s="5">
        <v>41549</v>
      </c>
      <c r="E9355" s="4" t="s">
        <v>5185</v>
      </c>
      <c r="F9355" s="4" t="s">
        <v>5945</v>
      </c>
    </row>
    <row r="9356" spans="1:6" x14ac:dyDescent="0.25">
      <c r="A9356" s="4" t="str">
        <f>CONCATENATE("3071-0000-8519","")</f>
        <v>3071-0000-8519</v>
      </c>
      <c r="B9356" s="4" t="s">
        <v>5793</v>
      </c>
      <c r="C9356" s="5">
        <v>41489</v>
      </c>
      <c r="D9356" s="5">
        <v>41549</v>
      </c>
      <c r="E9356" s="4" t="s">
        <v>5185</v>
      </c>
      <c r="F9356" s="4" t="s">
        <v>5763</v>
      </c>
    </row>
    <row r="9357" spans="1:6" x14ac:dyDescent="0.25">
      <c r="A9357" s="4" t="str">
        <f>CONCATENATE("3071-0000-5111","")</f>
        <v>3071-0000-5111</v>
      </c>
      <c r="B9357" s="4" t="s">
        <v>8853</v>
      </c>
      <c r="C9357" s="5">
        <v>41489</v>
      </c>
      <c r="D9357" s="5">
        <v>41549</v>
      </c>
      <c r="E9357" s="4" t="s">
        <v>1410</v>
      </c>
      <c r="F9357" s="4" t="s">
        <v>8851</v>
      </c>
    </row>
    <row r="9358" spans="1:6" x14ac:dyDescent="0.25">
      <c r="A9358" s="4" t="str">
        <f>CONCATENATE("3071-0000-5541","")</f>
        <v>3071-0000-5541</v>
      </c>
      <c r="B9358" s="4" t="s">
        <v>7334</v>
      </c>
      <c r="C9358" s="5">
        <v>41489</v>
      </c>
      <c r="D9358" s="5">
        <v>41549</v>
      </c>
      <c r="E9358" s="4" t="s">
        <v>5185</v>
      </c>
      <c r="F9358" s="4" t="s">
        <v>5185</v>
      </c>
    </row>
    <row r="9359" spans="1:6" x14ac:dyDescent="0.25">
      <c r="A9359" s="4" t="str">
        <f>CONCATENATE("3071-0000-0272","")</f>
        <v>3071-0000-0272</v>
      </c>
      <c r="B9359" s="4" t="s">
        <v>660</v>
      </c>
      <c r="C9359" s="5">
        <v>41489</v>
      </c>
      <c r="D9359" s="5">
        <v>41549</v>
      </c>
      <c r="E9359" s="4" t="s">
        <v>7</v>
      </c>
      <c r="F9359" s="4" t="s">
        <v>7</v>
      </c>
    </row>
    <row r="9360" spans="1:6" x14ac:dyDescent="0.25">
      <c r="A9360" s="4" t="str">
        <f>CONCATENATE("3071-0000-0493","")</f>
        <v>3071-0000-0493</v>
      </c>
      <c r="B9360" s="4" t="s">
        <v>104</v>
      </c>
      <c r="C9360" s="5">
        <v>41489</v>
      </c>
      <c r="D9360" s="5">
        <v>41549</v>
      </c>
      <c r="E9360" s="4" t="s">
        <v>7</v>
      </c>
      <c r="F9360" s="4" t="s">
        <v>7</v>
      </c>
    </row>
    <row r="9361" spans="1:6" x14ac:dyDescent="0.25">
      <c r="A9361" s="4" t="str">
        <f>CONCATENATE("3071-0000-0017","")</f>
        <v>3071-0000-0017</v>
      </c>
      <c r="B9361" s="4" t="s">
        <v>32</v>
      </c>
      <c r="C9361" s="5">
        <v>41489</v>
      </c>
      <c r="D9361" s="5">
        <v>41549</v>
      </c>
      <c r="E9361" s="4" t="s">
        <v>7</v>
      </c>
      <c r="F9361" s="4" t="s">
        <v>7</v>
      </c>
    </row>
    <row r="9362" spans="1:6" x14ac:dyDescent="0.25">
      <c r="A9362" s="4" t="str">
        <f>CONCATENATE("3071-0000-1127","")</f>
        <v>3071-0000-1127</v>
      </c>
      <c r="B9362" s="4" t="s">
        <v>2158</v>
      </c>
      <c r="C9362" s="5">
        <v>41489</v>
      </c>
      <c r="D9362" s="5">
        <v>41549</v>
      </c>
      <c r="E9362" s="4" t="s">
        <v>1857</v>
      </c>
      <c r="F9362" s="4" t="s">
        <v>2144</v>
      </c>
    </row>
    <row r="9363" spans="1:6" x14ac:dyDescent="0.25">
      <c r="A9363" s="4" t="str">
        <f>CONCATENATE("3071-0000-2108","")</f>
        <v>3071-0000-2108</v>
      </c>
      <c r="B9363" s="4" t="s">
        <v>3504</v>
      </c>
      <c r="C9363" s="5">
        <v>41489</v>
      </c>
      <c r="D9363" s="5">
        <v>41549</v>
      </c>
      <c r="E9363" s="4" t="s">
        <v>2944</v>
      </c>
      <c r="F9363" s="4" t="s">
        <v>2945</v>
      </c>
    </row>
    <row r="9364" spans="1:6" x14ac:dyDescent="0.25">
      <c r="A9364" s="4" t="str">
        <f>CONCATENATE("3071-0000-0198","")</f>
        <v>3071-0000-0198</v>
      </c>
      <c r="B9364" s="4" t="s">
        <v>433</v>
      </c>
      <c r="C9364" s="5">
        <v>41489</v>
      </c>
      <c r="D9364" s="5">
        <v>41549</v>
      </c>
      <c r="E9364" s="4" t="s">
        <v>7</v>
      </c>
      <c r="F9364" s="4" t="s">
        <v>7</v>
      </c>
    </row>
    <row r="9365" spans="1:6" x14ac:dyDescent="0.25">
      <c r="A9365" s="4" t="str">
        <f>CONCATENATE("3071-0000-7745","")</f>
        <v>3071-0000-7745</v>
      </c>
      <c r="B9365" s="4" t="s">
        <v>4363</v>
      </c>
      <c r="C9365" s="5">
        <v>41489</v>
      </c>
      <c r="D9365" s="5">
        <v>41549</v>
      </c>
      <c r="E9365" s="4" t="s">
        <v>1410</v>
      </c>
      <c r="F9365" s="4" t="s">
        <v>1410</v>
      </c>
    </row>
    <row r="9366" spans="1:6" x14ac:dyDescent="0.25">
      <c r="A9366" s="4" t="str">
        <f>CONCATENATE("3071-0000-2384","")</f>
        <v>3071-0000-2384</v>
      </c>
      <c r="B9366" s="4" t="s">
        <v>3738</v>
      </c>
      <c r="C9366" s="5">
        <v>41489</v>
      </c>
      <c r="D9366" s="5">
        <v>41549</v>
      </c>
      <c r="E9366" s="4" t="s">
        <v>2944</v>
      </c>
      <c r="F9366" s="4" t="s">
        <v>3593</v>
      </c>
    </row>
    <row r="9367" spans="1:6" x14ac:dyDescent="0.25">
      <c r="A9367" s="4" t="str">
        <f>CONCATENATE("3071-0000-1158","")</f>
        <v>3071-0000-1158</v>
      </c>
      <c r="B9367" s="4" t="s">
        <v>2001</v>
      </c>
      <c r="C9367" s="5">
        <v>41489</v>
      </c>
      <c r="D9367" s="5">
        <v>41549</v>
      </c>
      <c r="E9367" s="4" t="s">
        <v>1857</v>
      </c>
      <c r="F9367" s="4" t="s">
        <v>1857</v>
      </c>
    </row>
    <row r="9368" spans="1:6" x14ac:dyDescent="0.25">
      <c r="A9368" s="4" t="str">
        <f>CONCATENATE("3071-0000-0929","")</f>
        <v>3071-0000-0929</v>
      </c>
      <c r="B9368" s="4" t="s">
        <v>2090</v>
      </c>
      <c r="C9368" s="5">
        <v>41489</v>
      </c>
      <c r="D9368" s="5">
        <v>41549</v>
      </c>
      <c r="E9368" s="4" t="s">
        <v>1857</v>
      </c>
      <c r="F9368" s="4" t="s">
        <v>1857</v>
      </c>
    </row>
    <row r="9369" spans="1:6" x14ac:dyDescent="0.25">
      <c r="A9369" s="4" t="str">
        <f>CONCATENATE("3071-0000-0959","")</f>
        <v>3071-0000-0959</v>
      </c>
      <c r="B9369" s="4" t="s">
        <v>2187</v>
      </c>
      <c r="C9369" s="5">
        <v>41489</v>
      </c>
      <c r="D9369" s="5">
        <v>41549</v>
      </c>
      <c r="E9369" s="4" t="s">
        <v>1857</v>
      </c>
      <c r="F9369" s="4" t="s">
        <v>1857</v>
      </c>
    </row>
    <row r="9370" spans="1:6" x14ac:dyDescent="0.25">
      <c r="A9370" s="4" t="str">
        <f>CONCATENATE("3071-0000-0903","")</f>
        <v>3071-0000-0903</v>
      </c>
      <c r="B9370" s="4" t="s">
        <v>1926</v>
      </c>
      <c r="C9370" s="5">
        <v>41489</v>
      </c>
      <c r="D9370" s="5">
        <v>41549</v>
      </c>
      <c r="E9370" s="4" t="s">
        <v>1857</v>
      </c>
      <c r="F9370" s="4" t="s">
        <v>1857</v>
      </c>
    </row>
    <row r="9371" spans="1:6" x14ac:dyDescent="0.25">
      <c r="A9371" s="4" t="str">
        <f>CONCATENATE("3071-0000-3505","")</f>
        <v>3071-0000-3505</v>
      </c>
      <c r="B9371" s="4" t="s">
        <v>1825</v>
      </c>
      <c r="C9371" s="5">
        <v>41489</v>
      </c>
      <c r="D9371" s="5">
        <v>41549</v>
      </c>
      <c r="E9371" s="4" t="s">
        <v>1410</v>
      </c>
      <c r="F9371" s="4" t="s">
        <v>1411</v>
      </c>
    </row>
    <row r="9372" spans="1:6" x14ac:dyDescent="0.25">
      <c r="A9372" s="4" t="str">
        <f>CONCATENATE("3071-0000-3714","")</f>
        <v>3071-0000-3714</v>
      </c>
      <c r="B9372" s="4" t="s">
        <v>1425</v>
      </c>
      <c r="C9372" s="5">
        <v>41489</v>
      </c>
      <c r="D9372" s="5">
        <v>41549</v>
      </c>
      <c r="E9372" s="4" t="s">
        <v>1410</v>
      </c>
      <c r="F9372" s="4" t="s">
        <v>1411</v>
      </c>
    </row>
    <row r="9373" spans="1:6" x14ac:dyDescent="0.25">
      <c r="A9373" s="4" t="str">
        <f>CONCATENATE("3071-0000-3721","")</f>
        <v>3071-0000-3721</v>
      </c>
      <c r="B9373" s="4" t="s">
        <v>1435</v>
      </c>
      <c r="C9373" s="5">
        <v>41489</v>
      </c>
      <c r="D9373" s="5">
        <v>41549</v>
      </c>
      <c r="E9373" s="4" t="s">
        <v>1410</v>
      </c>
      <c r="F9373" s="4" t="s">
        <v>1411</v>
      </c>
    </row>
    <row r="9374" spans="1:6" x14ac:dyDescent="0.25">
      <c r="A9374" s="4" t="str">
        <f>CONCATENATE("3071-0000-3677","")</f>
        <v>3071-0000-3677</v>
      </c>
      <c r="B9374" s="4" t="s">
        <v>1562</v>
      </c>
      <c r="C9374" s="5">
        <v>41489</v>
      </c>
      <c r="D9374" s="5">
        <v>41549</v>
      </c>
      <c r="E9374" s="4" t="s">
        <v>1410</v>
      </c>
      <c r="F9374" s="4" t="s">
        <v>1411</v>
      </c>
    </row>
    <row r="9375" spans="1:6" x14ac:dyDescent="0.25">
      <c r="A9375" s="4" t="str">
        <f>CONCATENATE("3071-0000-3591","")</f>
        <v>3071-0000-3591</v>
      </c>
      <c r="B9375" s="4" t="s">
        <v>1587</v>
      </c>
      <c r="C9375" s="5">
        <v>41489</v>
      </c>
      <c r="D9375" s="5">
        <v>41549</v>
      </c>
      <c r="E9375" s="4" t="s">
        <v>1410</v>
      </c>
      <c r="F9375" s="4" t="s">
        <v>1411</v>
      </c>
    </row>
    <row r="9376" spans="1:6" x14ac:dyDescent="0.25">
      <c r="A9376" s="4" t="str">
        <f>CONCATENATE("3071-0000-3549","")</f>
        <v>3071-0000-3549</v>
      </c>
      <c r="B9376" s="4" t="s">
        <v>1414</v>
      </c>
      <c r="C9376" s="5">
        <v>41489</v>
      </c>
      <c r="D9376" s="5">
        <v>41549</v>
      </c>
      <c r="E9376" s="4" t="s">
        <v>1410</v>
      </c>
      <c r="F9376" s="4" t="s">
        <v>1411</v>
      </c>
    </row>
    <row r="9377" spans="1:6" x14ac:dyDescent="0.25">
      <c r="A9377" s="4" t="str">
        <f>CONCATENATE("3071-0000-3753","")</f>
        <v>3071-0000-3753</v>
      </c>
      <c r="B9377" s="4" t="s">
        <v>1621</v>
      </c>
      <c r="C9377" s="5">
        <v>41489</v>
      </c>
      <c r="D9377" s="5">
        <v>41549</v>
      </c>
      <c r="E9377" s="4" t="s">
        <v>1410</v>
      </c>
      <c r="F9377" s="4" t="s">
        <v>1613</v>
      </c>
    </row>
    <row r="9378" spans="1:6" x14ac:dyDescent="0.25">
      <c r="A9378" s="4" t="str">
        <f>CONCATENATE("3071-0000-3399","")</f>
        <v>3071-0000-3399</v>
      </c>
      <c r="B9378" s="4" t="s">
        <v>1554</v>
      </c>
      <c r="C9378" s="5">
        <v>41489</v>
      </c>
      <c r="D9378" s="5">
        <v>41549</v>
      </c>
      <c r="E9378" s="4" t="s">
        <v>1410</v>
      </c>
      <c r="F9378" s="4" t="s">
        <v>1411</v>
      </c>
    </row>
    <row r="9379" spans="1:6" x14ac:dyDescent="0.25">
      <c r="A9379" s="4" t="str">
        <f>CONCATENATE("3071-0000-0052","")</f>
        <v>3071-0000-0052</v>
      </c>
      <c r="B9379" s="4" t="s">
        <v>99</v>
      </c>
      <c r="C9379" s="5">
        <v>41489</v>
      </c>
      <c r="D9379" s="5">
        <v>41549</v>
      </c>
      <c r="E9379" s="4" t="s">
        <v>7</v>
      </c>
      <c r="F9379" s="4" t="s">
        <v>7</v>
      </c>
    </row>
    <row r="9380" spans="1:6" x14ac:dyDescent="0.25">
      <c r="A9380" s="4" t="str">
        <f>CONCATENATE("3071-0000-0193","")</f>
        <v>3071-0000-0193</v>
      </c>
      <c r="B9380" s="4" t="s">
        <v>9701</v>
      </c>
      <c r="C9380" s="5">
        <v>41489</v>
      </c>
      <c r="D9380" s="5">
        <v>41549</v>
      </c>
      <c r="E9380" s="4" t="s">
        <v>7</v>
      </c>
      <c r="F9380" s="4" t="s">
        <v>7</v>
      </c>
    </row>
    <row r="9381" spans="1:6" x14ac:dyDescent="0.25">
      <c r="A9381" s="4" t="str">
        <f>CONCATENATE("3071-0000-0716","")</f>
        <v>3071-0000-0716</v>
      </c>
      <c r="B9381" s="4" t="s">
        <v>359</v>
      </c>
      <c r="C9381" s="5">
        <v>41489</v>
      </c>
      <c r="D9381" s="5">
        <v>41549</v>
      </c>
      <c r="E9381" s="4" t="s">
        <v>7</v>
      </c>
      <c r="F9381" s="4" t="s">
        <v>7</v>
      </c>
    </row>
    <row r="9382" spans="1:6" x14ac:dyDescent="0.25">
      <c r="A9382" s="4" t="str">
        <f>CONCATENATE("3071-0000-1942","")</f>
        <v>3071-0000-1942</v>
      </c>
      <c r="B9382" s="4" t="s">
        <v>3045</v>
      </c>
      <c r="C9382" s="5">
        <v>41489</v>
      </c>
      <c r="D9382" s="5">
        <v>41549</v>
      </c>
      <c r="E9382" s="4" t="s">
        <v>2944</v>
      </c>
      <c r="F9382" s="4" t="s">
        <v>2945</v>
      </c>
    </row>
    <row r="9383" spans="1:6" x14ac:dyDescent="0.25">
      <c r="A9383" s="4" t="str">
        <f>CONCATENATE("3071-0000-0552","")</f>
        <v>3071-0000-0552</v>
      </c>
      <c r="B9383" s="4" t="s">
        <v>270</v>
      </c>
      <c r="C9383" s="5">
        <v>41489</v>
      </c>
      <c r="D9383" s="5">
        <v>41549</v>
      </c>
      <c r="E9383" s="4" t="s">
        <v>7</v>
      </c>
      <c r="F9383" s="4" t="s">
        <v>7</v>
      </c>
    </row>
    <row r="9384" spans="1:6" x14ac:dyDescent="0.25">
      <c r="A9384" s="4" t="str">
        <f>CONCATENATE("3071-0000-7038","")</f>
        <v>3071-0000-7038</v>
      </c>
      <c r="B9384" s="4" t="s">
        <v>4876</v>
      </c>
      <c r="C9384" s="5">
        <v>41489</v>
      </c>
      <c r="D9384" s="5">
        <v>41549</v>
      </c>
      <c r="E9384" s="4" t="s">
        <v>1410</v>
      </c>
      <c r="F9384" s="4" t="s">
        <v>1410</v>
      </c>
    </row>
    <row r="9385" spans="1:6" x14ac:dyDescent="0.25">
      <c r="A9385" s="4" t="str">
        <f>CONCATENATE("3071-0000-3509","")</f>
        <v>3071-0000-3509</v>
      </c>
      <c r="B9385" s="4" t="s">
        <v>1829</v>
      </c>
      <c r="C9385" s="5">
        <v>41489</v>
      </c>
      <c r="D9385" s="5">
        <v>41549</v>
      </c>
      <c r="E9385" s="4" t="s">
        <v>1410</v>
      </c>
      <c r="F9385" s="4" t="s">
        <v>1411</v>
      </c>
    </row>
    <row r="9386" spans="1:6" x14ac:dyDescent="0.25">
      <c r="A9386" s="4" t="str">
        <f>CONCATENATE("3071-0000-8334","")</f>
        <v>3071-0000-8334</v>
      </c>
      <c r="B9386" s="4" t="s">
        <v>5863</v>
      </c>
      <c r="C9386" s="5">
        <v>41489</v>
      </c>
      <c r="D9386" s="5">
        <v>41549</v>
      </c>
      <c r="E9386" s="4" t="s">
        <v>5185</v>
      </c>
      <c r="F9386" s="4" t="s">
        <v>5185</v>
      </c>
    </row>
    <row r="9387" spans="1:6" x14ac:dyDescent="0.25">
      <c r="A9387" s="4" t="str">
        <f>CONCATENATE("3071-0000-1904","")</f>
        <v>3071-0000-1904</v>
      </c>
      <c r="B9387" s="4" t="s">
        <v>2987</v>
      </c>
      <c r="C9387" s="5">
        <v>41489</v>
      </c>
      <c r="D9387" s="5">
        <v>41549</v>
      </c>
      <c r="E9387" s="4" t="s">
        <v>2944</v>
      </c>
      <c r="F9387" s="4" t="s">
        <v>2945</v>
      </c>
    </row>
    <row r="9388" spans="1:6" x14ac:dyDescent="0.25">
      <c r="A9388" s="4" t="str">
        <f>CONCATENATE("3071-0000-3711","")</f>
        <v>3071-0000-3711</v>
      </c>
      <c r="B9388" s="4" t="s">
        <v>1440</v>
      </c>
      <c r="C9388" s="5">
        <v>41489</v>
      </c>
      <c r="D9388" s="5">
        <v>41549</v>
      </c>
      <c r="E9388" s="4" t="s">
        <v>1410</v>
      </c>
      <c r="F9388" s="4" t="s">
        <v>1411</v>
      </c>
    </row>
    <row r="9389" spans="1:6" x14ac:dyDescent="0.25">
      <c r="A9389" s="4" t="str">
        <f>CONCATENATE("3071-0000-3713","")</f>
        <v>3071-0000-3713</v>
      </c>
      <c r="B9389" s="4" t="s">
        <v>1424</v>
      </c>
      <c r="C9389" s="5">
        <v>41489</v>
      </c>
      <c r="D9389" s="5">
        <v>41549</v>
      </c>
      <c r="E9389" s="4" t="s">
        <v>1410</v>
      </c>
      <c r="F9389" s="4" t="s">
        <v>1411</v>
      </c>
    </row>
    <row r="9390" spans="1:6" x14ac:dyDescent="0.25">
      <c r="A9390" s="4" t="str">
        <f>CONCATENATE("3071-0000-8535","")</f>
        <v>3071-0000-8535</v>
      </c>
      <c r="B9390" s="4" t="s">
        <v>6124</v>
      </c>
      <c r="C9390" s="5">
        <v>41489</v>
      </c>
      <c r="D9390" s="5">
        <v>41549</v>
      </c>
      <c r="E9390" s="4" t="s">
        <v>5185</v>
      </c>
      <c r="F9390" s="4" t="s">
        <v>5945</v>
      </c>
    </row>
    <row r="9391" spans="1:6" x14ac:dyDescent="0.25">
      <c r="A9391" s="4" t="str">
        <f>CONCATENATE("3071-0000-0754","")</f>
        <v>3071-0000-0754</v>
      </c>
      <c r="B9391" s="4" t="s">
        <v>266</v>
      </c>
      <c r="C9391" s="5">
        <v>41489</v>
      </c>
      <c r="D9391" s="5">
        <v>41549</v>
      </c>
      <c r="E9391" s="4" t="s">
        <v>7</v>
      </c>
      <c r="F9391" s="4" t="s">
        <v>7</v>
      </c>
    </row>
    <row r="9392" spans="1:6" x14ac:dyDescent="0.25">
      <c r="A9392" s="4" t="str">
        <f>CONCATENATE("3071-0000-7037","")</f>
        <v>3071-0000-7037</v>
      </c>
      <c r="B9392" s="4" t="s">
        <v>4875</v>
      </c>
      <c r="C9392" s="5">
        <v>41489</v>
      </c>
      <c r="D9392" s="5">
        <v>41549</v>
      </c>
      <c r="E9392" s="4" t="s">
        <v>1410</v>
      </c>
      <c r="F9392" s="4" t="s">
        <v>1410</v>
      </c>
    </row>
    <row r="9393" spans="1:6" x14ac:dyDescent="0.25">
      <c r="A9393" s="4" t="str">
        <f>CONCATENATE("3071-0000-0619","")</f>
        <v>3071-0000-0619</v>
      </c>
      <c r="B9393" s="4" t="s">
        <v>771</v>
      </c>
      <c r="C9393" s="5">
        <v>41489</v>
      </c>
      <c r="D9393" s="5">
        <v>41549</v>
      </c>
      <c r="E9393" s="4" t="s">
        <v>7</v>
      </c>
      <c r="F9393" s="4" t="s">
        <v>7</v>
      </c>
    </row>
    <row r="9394" spans="1:6" x14ac:dyDescent="0.25">
      <c r="A9394" s="4" t="str">
        <f>CONCATENATE("3071-0000-7986","")</f>
        <v>3071-0000-7986</v>
      </c>
      <c r="B9394" s="4" t="s">
        <v>5355</v>
      </c>
      <c r="C9394" s="5">
        <v>41489</v>
      </c>
      <c r="D9394" s="5">
        <v>41549</v>
      </c>
      <c r="E9394" s="4" t="s">
        <v>5185</v>
      </c>
      <c r="F9394" s="4" t="s">
        <v>5185</v>
      </c>
    </row>
    <row r="9395" spans="1:6" x14ac:dyDescent="0.25">
      <c r="A9395" s="4" t="str">
        <f>CONCATENATE("3071-0000-6919","")</f>
        <v>3071-0000-6919</v>
      </c>
      <c r="B9395" s="4" t="s">
        <v>4264</v>
      </c>
      <c r="C9395" s="5">
        <v>41489</v>
      </c>
      <c r="D9395" s="5">
        <v>41549</v>
      </c>
      <c r="E9395" s="4" t="s">
        <v>1410</v>
      </c>
      <c r="F9395" s="4" t="s">
        <v>1410</v>
      </c>
    </row>
    <row r="9396" spans="1:6" x14ac:dyDescent="0.25">
      <c r="A9396" s="4" t="str">
        <f>CONCATENATE("3071-0000-2371","")</f>
        <v>3071-0000-2371</v>
      </c>
      <c r="B9396" s="4" t="s">
        <v>3174</v>
      </c>
      <c r="C9396" s="5">
        <v>41489</v>
      </c>
      <c r="D9396" s="5">
        <v>41549</v>
      </c>
      <c r="E9396" s="4" t="s">
        <v>2944</v>
      </c>
      <c r="F9396" s="4" t="s">
        <v>3164</v>
      </c>
    </row>
    <row r="9397" spans="1:6" x14ac:dyDescent="0.25">
      <c r="A9397" s="4" t="str">
        <f>CONCATENATE("3071-0000-0949","")</f>
        <v>3071-0000-0949</v>
      </c>
      <c r="B9397" s="4" t="s">
        <v>2166</v>
      </c>
      <c r="C9397" s="5">
        <v>41489</v>
      </c>
      <c r="D9397" s="5">
        <v>41549</v>
      </c>
      <c r="E9397" s="4" t="s">
        <v>1857</v>
      </c>
      <c r="F9397" s="4" t="s">
        <v>1857</v>
      </c>
    </row>
    <row r="9398" spans="1:6" x14ac:dyDescent="0.25">
      <c r="A9398" s="4" t="str">
        <f>CONCATENATE("3071-0000-1061","")</f>
        <v>3071-0000-1061</v>
      </c>
      <c r="B9398" s="4" t="s">
        <v>2294</v>
      </c>
      <c r="C9398" s="5">
        <v>41489</v>
      </c>
      <c r="D9398" s="5">
        <v>41549</v>
      </c>
      <c r="E9398" s="4" t="s">
        <v>1857</v>
      </c>
      <c r="F9398" s="4" t="s">
        <v>1857</v>
      </c>
    </row>
    <row r="9399" spans="1:6" x14ac:dyDescent="0.25">
      <c r="A9399" s="4" t="str">
        <f>CONCATENATE("3071-0000-7703","")</f>
        <v>3071-0000-7703</v>
      </c>
      <c r="B9399" s="4" t="s">
        <v>4297</v>
      </c>
      <c r="C9399" s="5">
        <v>41489</v>
      </c>
      <c r="D9399" s="5">
        <v>41549</v>
      </c>
      <c r="E9399" s="4" t="s">
        <v>1410</v>
      </c>
      <c r="F9399" s="4" t="s">
        <v>1410</v>
      </c>
    </row>
    <row r="9400" spans="1:6" x14ac:dyDescent="0.25">
      <c r="A9400" s="4" t="str">
        <f>CONCATENATE("3071-0000-9570","")</f>
        <v>3071-0000-9570</v>
      </c>
      <c r="B9400" s="4" t="s">
        <v>8608</v>
      </c>
      <c r="C9400" s="5">
        <v>41489</v>
      </c>
      <c r="D9400" s="5">
        <v>41549</v>
      </c>
      <c r="E9400" s="4" t="s">
        <v>1410</v>
      </c>
      <c r="F9400" s="4" t="s">
        <v>4459</v>
      </c>
    </row>
    <row r="9401" spans="1:6" x14ac:dyDescent="0.25">
      <c r="A9401" s="4" t="str">
        <f>CONCATENATE("3071-0000-7683","")</f>
        <v>3071-0000-7683</v>
      </c>
      <c r="B9401" s="4" t="s">
        <v>4581</v>
      </c>
      <c r="C9401" s="5">
        <v>41489</v>
      </c>
      <c r="D9401" s="5">
        <v>41549</v>
      </c>
      <c r="E9401" s="4" t="s">
        <v>1410</v>
      </c>
      <c r="F9401" s="4" t="s">
        <v>1410</v>
      </c>
    </row>
    <row r="9402" spans="1:6" x14ac:dyDescent="0.25">
      <c r="A9402" s="4" t="str">
        <f>CONCATENATE("3071-0000-3989","")</f>
        <v>3071-0000-3989</v>
      </c>
      <c r="B9402" s="4" t="s">
        <v>4124</v>
      </c>
      <c r="C9402" s="5">
        <v>41489</v>
      </c>
      <c r="D9402" s="5">
        <v>41549</v>
      </c>
      <c r="E9402" s="4" t="s">
        <v>2944</v>
      </c>
      <c r="F9402" s="4" t="s">
        <v>3513</v>
      </c>
    </row>
    <row r="9403" spans="1:6" x14ac:dyDescent="0.25">
      <c r="A9403" s="4" t="str">
        <f>CONCATENATE("3071-0000-7646","")</f>
        <v>3071-0000-7646</v>
      </c>
      <c r="B9403" s="4" t="s">
        <v>5181</v>
      </c>
      <c r="C9403" s="5">
        <v>41489</v>
      </c>
      <c r="D9403" s="5">
        <v>41549</v>
      </c>
      <c r="E9403" s="4" t="s">
        <v>1410</v>
      </c>
      <c r="F9403" s="4" t="s">
        <v>4616</v>
      </c>
    </row>
    <row r="9404" spans="1:6" x14ac:dyDescent="0.25">
      <c r="A9404" s="4" t="str">
        <f>CONCATENATE("3071-0000-8912","")</f>
        <v>3071-0000-8912</v>
      </c>
      <c r="B9404" s="4" t="s">
        <v>5320</v>
      </c>
      <c r="C9404" s="5">
        <v>41489</v>
      </c>
      <c r="D9404" s="5">
        <v>41549</v>
      </c>
      <c r="E9404" s="4" t="s">
        <v>1410</v>
      </c>
      <c r="F9404" s="4" t="s">
        <v>4616</v>
      </c>
    </row>
    <row r="9405" spans="1:6" x14ac:dyDescent="0.25">
      <c r="A9405" s="4" t="str">
        <f>CONCATENATE("3071-0000-7695","")</f>
        <v>3071-0000-7695</v>
      </c>
      <c r="B9405" s="4" t="s">
        <v>4712</v>
      </c>
      <c r="C9405" s="5">
        <v>41489</v>
      </c>
      <c r="D9405" s="5">
        <v>41549</v>
      </c>
      <c r="E9405" s="4" t="s">
        <v>1410</v>
      </c>
      <c r="F9405" s="4" t="s">
        <v>4655</v>
      </c>
    </row>
    <row r="9406" spans="1:6" x14ac:dyDescent="0.25">
      <c r="A9406" s="4" t="str">
        <f>CONCATENATE("3071-0000-7411","")</f>
        <v>3071-0000-7411</v>
      </c>
      <c r="B9406" s="4" t="s">
        <v>4713</v>
      </c>
      <c r="C9406" s="5">
        <v>41489</v>
      </c>
      <c r="D9406" s="5">
        <v>41549</v>
      </c>
      <c r="E9406" s="4" t="s">
        <v>1410</v>
      </c>
      <c r="F9406" s="4" t="s">
        <v>1410</v>
      </c>
    </row>
    <row r="9407" spans="1:6" x14ac:dyDescent="0.25">
      <c r="A9407" s="4" t="str">
        <f>CONCATENATE("3071-0000-3986","")</f>
        <v>3071-0000-3986</v>
      </c>
      <c r="B9407" s="4" t="s">
        <v>4059</v>
      </c>
      <c r="C9407" s="5">
        <v>41489</v>
      </c>
      <c r="D9407" s="5">
        <v>41549</v>
      </c>
      <c r="E9407" s="4" t="s">
        <v>1381</v>
      </c>
      <c r="F9407" s="4" t="s">
        <v>4057</v>
      </c>
    </row>
    <row r="9408" spans="1:6" x14ac:dyDescent="0.25">
      <c r="A9408" s="4" t="str">
        <f>CONCATENATE("3071-0000-1335","")</f>
        <v>3071-0000-1335</v>
      </c>
      <c r="B9408" s="4" t="s">
        <v>2465</v>
      </c>
      <c r="C9408" s="5">
        <v>41489</v>
      </c>
      <c r="D9408" s="5">
        <v>41549</v>
      </c>
      <c r="E9408" s="4" t="s">
        <v>1381</v>
      </c>
      <c r="F9408" s="4" t="s">
        <v>2303</v>
      </c>
    </row>
    <row r="9409" spans="1:6" x14ac:dyDescent="0.25">
      <c r="A9409" s="4" t="str">
        <f>CONCATENATE("3071-0000-9317","")</f>
        <v>3071-0000-9317</v>
      </c>
      <c r="B9409" s="4" t="s">
        <v>8614</v>
      </c>
      <c r="C9409" s="5">
        <v>41489</v>
      </c>
      <c r="D9409" s="5">
        <v>41549</v>
      </c>
      <c r="E9409" s="4" t="s">
        <v>5185</v>
      </c>
      <c r="F9409" s="4" t="s">
        <v>5185</v>
      </c>
    </row>
    <row r="9410" spans="1:6" x14ac:dyDescent="0.25">
      <c r="A9410" s="4" t="str">
        <f>CONCATENATE("3071-0000-6712","")</f>
        <v>3071-0000-6712</v>
      </c>
      <c r="B9410" s="4" t="s">
        <v>8174</v>
      </c>
      <c r="C9410" s="5">
        <v>41489</v>
      </c>
      <c r="D9410" s="5">
        <v>41549</v>
      </c>
      <c r="E9410" s="4" t="s">
        <v>5185</v>
      </c>
      <c r="F9410" s="4" t="s">
        <v>5185</v>
      </c>
    </row>
    <row r="9411" spans="1:6" x14ac:dyDescent="0.25">
      <c r="A9411" s="4" t="str">
        <f>CONCATENATE("3071-0000-7769","")</f>
        <v>3071-0000-7769</v>
      </c>
      <c r="B9411" s="4" t="s">
        <v>4741</v>
      </c>
      <c r="C9411" s="5">
        <v>41489</v>
      </c>
      <c r="D9411" s="5">
        <v>41549</v>
      </c>
      <c r="E9411" s="4" t="s">
        <v>1410</v>
      </c>
      <c r="F9411" s="4" t="s">
        <v>4655</v>
      </c>
    </row>
    <row r="9412" spans="1:6" x14ac:dyDescent="0.25">
      <c r="A9412" s="4" t="str">
        <f>CONCATENATE("3071-0000-6731","")</f>
        <v>3071-0000-6731</v>
      </c>
      <c r="B9412" s="4" t="s">
        <v>8180</v>
      </c>
      <c r="C9412" s="5">
        <v>41489</v>
      </c>
      <c r="D9412" s="5">
        <v>41549</v>
      </c>
      <c r="E9412" s="4" t="s">
        <v>5185</v>
      </c>
      <c r="F9412" s="4" t="s">
        <v>5185</v>
      </c>
    </row>
    <row r="9413" spans="1:6" x14ac:dyDescent="0.25">
      <c r="A9413" s="4" t="str">
        <f>CONCATENATE("3071-0000-7591","")</f>
        <v>3071-0000-7591</v>
      </c>
      <c r="B9413" s="4" t="s">
        <v>4826</v>
      </c>
      <c r="C9413" s="5">
        <v>41489</v>
      </c>
      <c r="D9413" s="5">
        <v>41549</v>
      </c>
      <c r="E9413" s="4" t="s">
        <v>1410</v>
      </c>
      <c r="F9413" s="4" t="s">
        <v>4655</v>
      </c>
    </row>
    <row r="9414" spans="1:6" x14ac:dyDescent="0.25">
      <c r="A9414" s="4" t="str">
        <f>CONCATENATE("3071-0000-6070","")</f>
        <v>3071-0000-6070</v>
      </c>
      <c r="B9414" s="4" t="s">
        <v>7045</v>
      </c>
      <c r="C9414" s="5">
        <v>41489</v>
      </c>
      <c r="D9414" s="5">
        <v>41549</v>
      </c>
      <c r="E9414" s="4" t="s">
        <v>1410</v>
      </c>
      <c r="F9414" s="4" t="s">
        <v>6798</v>
      </c>
    </row>
    <row r="9415" spans="1:6" x14ac:dyDescent="0.25">
      <c r="A9415" s="4" t="str">
        <f>CONCATENATE("3071-0000-3732","")</f>
        <v>3071-0000-3732</v>
      </c>
      <c r="B9415" s="4" t="s">
        <v>1660</v>
      </c>
      <c r="C9415" s="5">
        <v>41489</v>
      </c>
      <c r="D9415" s="5">
        <v>41549</v>
      </c>
      <c r="E9415" s="4" t="s">
        <v>1410</v>
      </c>
      <c r="F9415" s="4" t="s">
        <v>1601</v>
      </c>
    </row>
    <row r="9416" spans="1:6" x14ac:dyDescent="0.25">
      <c r="A9416" s="4" t="str">
        <f>CONCATENATE("3071-0000-3645","")</f>
        <v>3071-0000-3645</v>
      </c>
      <c r="B9416" s="4" t="s">
        <v>1651</v>
      </c>
      <c r="C9416" s="5">
        <v>41489</v>
      </c>
      <c r="D9416" s="5">
        <v>41549</v>
      </c>
      <c r="E9416" s="4" t="s">
        <v>1410</v>
      </c>
      <c r="F9416" s="4" t="s">
        <v>1601</v>
      </c>
    </row>
    <row r="9417" spans="1:6" x14ac:dyDescent="0.25">
      <c r="A9417" s="4" t="str">
        <f>CONCATENATE("3071-0000-6313","")</f>
        <v>3071-0000-6313</v>
      </c>
      <c r="B9417" s="4" t="s">
        <v>7039</v>
      </c>
      <c r="C9417" s="5">
        <v>41489</v>
      </c>
      <c r="D9417" s="5">
        <v>41549</v>
      </c>
      <c r="E9417" s="4" t="s">
        <v>1410</v>
      </c>
      <c r="F9417" s="4" t="s">
        <v>6798</v>
      </c>
    </row>
    <row r="9418" spans="1:6" x14ac:dyDescent="0.25">
      <c r="A9418" s="4" t="str">
        <f>CONCATENATE("3071-0000-2254","")</f>
        <v>3071-0000-2254</v>
      </c>
      <c r="B9418" s="4" t="s">
        <v>3021</v>
      </c>
      <c r="C9418" s="5">
        <v>41489</v>
      </c>
      <c r="D9418" s="5">
        <v>41549</v>
      </c>
      <c r="E9418" s="4" t="s">
        <v>2944</v>
      </c>
      <c r="F9418" s="4" t="s">
        <v>2945</v>
      </c>
    </row>
    <row r="9419" spans="1:6" x14ac:dyDescent="0.25">
      <c r="A9419" s="4" t="str">
        <f>CONCATENATE("3071-0000-0725","")</f>
        <v>3071-0000-0725</v>
      </c>
      <c r="B9419" s="4" t="s">
        <v>542</v>
      </c>
      <c r="C9419" s="5">
        <v>41489</v>
      </c>
      <c r="D9419" s="5">
        <v>41549</v>
      </c>
      <c r="E9419" s="4" t="s">
        <v>7</v>
      </c>
      <c r="F9419" s="4" t="s">
        <v>273</v>
      </c>
    </row>
    <row r="9420" spans="1:6" x14ac:dyDescent="0.25">
      <c r="A9420" s="4" t="str">
        <f>CONCATENATE("3071-0000-2348","")</f>
        <v>3071-0000-2348</v>
      </c>
      <c r="B9420" s="4" t="s">
        <v>3508</v>
      </c>
      <c r="C9420" s="5">
        <v>41489</v>
      </c>
      <c r="D9420" s="5">
        <v>41549</v>
      </c>
      <c r="E9420" s="4" t="s">
        <v>2944</v>
      </c>
      <c r="F9420" s="4" t="s">
        <v>2945</v>
      </c>
    </row>
    <row r="9421" spans="1:6" x14ac:dyDescent="0.25">
      <c r="A9421" s="4" t="str">
        <f>CONCATENATE("3071-0000-2412","")</f>
        <v>3071-0000-2412</v>
      </c>
      <c r="B9421" s="4" t="s">
        <v>2995</v>
      </c>
      <c r="C9421" s="5">
        <v>41489</v>
      </c>
      <c r="D9421" s="5">
        <v>41549</v>
      </c>
      <c r="E9421" s="4" t="s">
        <v>2944</v>
      </c>
      <c r="F9421" s="4" t="s">
        <v>2945</v>
      </c>
    </row>
    <row r="9422" spans="1:6" x14ac:dyDescent="0.25">
      <c r="A9422" s="4" t="str">
        <f>CONCATENATE("3071-0000-2615","")</f>
        <v>3071-0000-2615</v>
      </c>
      <c r="B9422" s="4" t="s">
        <v>2959</v>
      </c>
      <c r="C9422" s="5">
        <v>41489</v>
      </c>
      <c r="D9422" s="5">
        <v>41549</v>
      </c>
      <c r="E9422" s="4" t="s">
        <v>2944</v>
      </c>
      <c r="F9422" s="4" t="s">
        <v>2949</v>
      </c>
    </row>
    <row r="9423" spans="1:6" x14ac:dyDescent="0.25">
      <c r="A9423" s="4" t="str">
        <f>CONCATENATE("3071-0000-2548","")</f>
        <v>3071-0000-2548</v>
      </c>
      <c r="B9423" s="4" t="s">
        <v>3571</v>
      </c>
      <c r="C9423" s="5">
        <v>41489</v>
      </c>
      <c r="D9423" s="5">
        <v>41549</v>
      </c>
      <c r="E9423" s="4" t="s">
        <v>2944</v>
      </c>
      <c r="F9423" s="4" t="s">
        <v>3567</v>
      </c>
    </row>
    <row r="9424" spans="1:6" x14ac:dyDescent="0.25">
      <c r="A9424" s="4" t="str">
        <f>CONCATENATE("3071-0000-5748","")</f>
        <v>3071-0000-5748</v>
      </c>
      <c r="B9424" s="4" t="s">
        <v>7535</v>
      </c>
      <c r="C9424" s="5">
        <v>41489</v>
      </c>
      <c r="D9424" s="5">
        <v>41549</v>
      </c>
      <c r="E9424" s="4" t="s">
        <v>5185</v>
      </c>
      <c r="F9424" s="4" t="s">
        <v>5185</v>
      </c>
    </row>
    <row r="9425" spans="1:6" x14ac:dyDescent="0.25">
      <c r="A9425" s="4" t="str">
        <f>CONCATENATE("3071-0000-4545","")</f>
        <v>3071-0000-4545</v>
      </c>
      <c r="B9425" s="4" t="s">
        <v>9071</v>
      </c>
      <c r="C9425" s="5">
        <v>41489</v>
      </c>
      <c r="D9425" s="5">
        <v>41549</v>
      </c>
      <c r="E9425" s="4" t="s">
        <v>1410</v>
      </c>
      <c r="F9425" s="4" t="s">
        <v>8696</v>
      </c>
    </row>
    <row r="9426" spans="1:6" x14ac:dyDescent="0.25">
      <c r="A9426" s="4" t="str">
        <f>CONCATENATE("3071-0000-1791","")</f>
        <v>3071-0000-1791</v>
      </c>
      <c r="B9426" s="4" t="s">
        <v>2775</v>
      </c>
      <c r="C9426" s="5">
        <v>41489</v>
      </c>
      <c r="D9426" s="5">
        <v>41549</v>
      </c>
      <c r="E9426" s="4" t="s">
        <v>1381</v>
      </c>
      <c r="F9426" s="4" t="s">
        <v>1382</v>
      </c>
    </row>
    <row r="9427" spans="1:6" x14ac:dyDescent="0.25">
      <c r="A9427" s="4" t="str">
        <f>CONCATENATE("3071-0000-4489","")</f>
        <v>3071-0000-4489</v>
      </c>
      <c r="B9427" s="4" t="s">
        <v>9098</v>
      </c>
      <c r="C9427" s="5">
        <v>41489</v>
      </c>
      <c r="D9427" s="5">
        <v>41549</v>
      </c>
      <c r="E9427" s="4" t="s">
        <v>1410</v>
      </c>
      <c r="F9427" s="4" t="s">
        <v>8696</v>
      </c>
    </row>
    <row r="9428" spans="1:6" x14ac:dyDescent="0.25">
      <c r="A9428" s="4" t="str">
        <f>CONCATENATE("3071-0000-4559","")</f>
        <v>3071-0000-4559</v>
      </c>
      <c r="B9428" s="4" t="s">
        <v>9086</v>
      </c>
      <c r="C9428" s="5">
        <v>41489</v>
      </c>
      <c r="D9428" s="5">
        <v>41549</v>
      </c>
      <c r="E9428" s="4" t="s">
        <v>1410</v>
      </c>
      <c r="F9428" s="4" t="s">
        <v>8696</v>
      </c>
    </row>
    <row r="9429" spans="1:6" x14ac:dyDescent="0.25">
      <c r="A9429" s="4" t="str">
        <f>CONCATENATE("3071-0000-1611","")</f>
        <v>3071-0000-1611</v>
      </c>
      <c r="B9429" s="4" t="s">
        <v>2776</v>
      </c>
      <c r="C9429" s="5">
        <v>41489</v>
      </c>
      <c r="D9429" s="5">
        <v>41549</v>
      </c>
      <c r="E9429" s="4" t="s">
        <v>1381</v>
      </c>
      <c r="F9429" s="4" t="s">
        <v>2303</v>
      </c>
    </row>
    <row r="9430" spans="1:6" x14ac:dyDescent="0.25">
      <c r="A9430" s="4" t="str">
        <f>CONCATENATE("3071-0000-9576","")</f>
        <v>3071-0000-9576</v>
      </c>
      <c r="B9430" s="4" t="s">
        <v>8606</v>
      </c>
      <c r="C9430" s="5">
        <v>41489</v>
      </c>
      <c r="D9430" s="5">
        <v>41549</v>
      </c>
      <c r="E9430" s="4" t="s">
        <v>1410</v>
      </c>
      <c r="F9430" s="4" t="s">
        <v>4459</v>
      </c>
    </row>
    <row r="9431" spans="1:6" x14ac:dyDescent="0.25">
      <c r="A9431" s="4" t="str">
        <f>CONCATENATE("3071-0000-9575","")</f>
        <v>3071-0000-9575</v>
      </c>
      <c r="B9431" s="4" t="s">
        <v>8622</v>
      </c>
      <c r="C9431" s="5">
        <v>41489</v>
      </c>
      <c r="D9431" s="5">
        <v>41549</v>
      </c>
      <c r="E9431" s="4" t="s">
        <v>1410</v>
      </c>
      <c r="F9431" s="4" t="s">
        <v>4459</v>
      </c>
    </row>
    <row r="9432" spans="1:6" x14ac:dyDescent="0.25">
      <c r="A9432" s="4" t="str">
        <f>CONCATENATE("3071-0000-6967","")</f>
        <v>3071-0000-6967</v>
      </c>
      <c r="B9432" s="4" t="s">
        <v>4447</v>
      </c>
      <c r="C9432" s="5">
        <v>41489</v>
      </c>
      <c r="D9432" s="5">
        <v>41549</v>
      </c>
      <c r="E9432" s="4" t="s">
        <v>1410</v>
      </c>
      <c r="F9432" s="4" t="s">
        <v>1410</v>
      </c>
    </row>
    <row r="9433" spans="1:6" x14ac:dyDescent="0.25">
      <c r="A9433" s="4" t="str">
        <f>CONCATENATE("3071-0000-9269","")</f>
        <v>3071-0000-9269</v>
      </c>
      <c r="B9433" s="4" t="s">
        <v>8546</v>
      </c>
      <c r="C9433" s="5">
        <v>41489</v>
      </c>
      <c r="D9433" s="5">
        <v>41549</v>
      </c>
      <c r="E9433" s="4" t="s">
        <v>5185</v>
      </c>
      <c r="F9433" s="4" t="s">
        <v>5185</v>
      </c>
    </row>
    <row r="9434" spans="1:6" x14ac:dyDescent="0.25">
      <c r="A9434" s="4" t="str">
        <f>CONCATENATE("3071-0000-9373","")</f>
        <v>3071-0000-9373</v>
      </c>
      <c r="B9434" s="4" t="s">
        <v>8395</v>
      </c>
      <c r="C9434" s="5">
        <v>41489</v>
      </c>
      <c r="D9434" s="5">
        <v>41549</v>
      </c>
      <c r="E9434" s="4" t="s">
        <v>1410</v>
      </c>
      <c r="F9434" s="4" t="s">
        <v>4459</v>
      </c>
    </row>
    <row r="9435" spans="1:6" x14ac:dyDescent="0.25">
      <c r="A9435" s="4" t="str">
        <f>CONCATENATE("3071-0000-8811","")</f>
        <v>3071-0000-8811</v>
      </c>
      <c r="B9435" s="4" t="s">
        <v>6601</v>
      </c>
      <c r="C9435" s="5">
        <v>41489</v>
      </c>
      <c r="D9435" s="5">
        <v>41549</v>
      </c>
      <c r="E9435" s="4" t="s">
        <v>5185</v>
      </c>
      <c r="F9435" s="4" t="s">
        <v>5292</v>
      </c>
    </row>
    <row r="9436" spans="1:6" x14ac:dyDescent="0.25">
      <c r="A9436" s="4" t="str">
        <f>CONCATENATE("3071-0000-5453","")</f>
        <v>3071-0000-5453</v>
      </c>
      <c r="B9436" s="4" t="s">
        <v>6913</v>
      </c>
      <c r="C9436" s="5">
        <v>41489</v>
      </c>
      <c r="D9436" s="5">
        <v>41549</v>
      </c>
      <c r="E9436" s="4" t="s">
        <v>5185</v>
      </c>
      <c r="F9436" s="4" t="s">
        <v>5185</v>
      </c>
    </row>
    <row r="9437" spans="1:6" x14ac:dyDescent="0.25">
      <c r="A9437" s="4" t="str">
        <f>CONCATENATE("3071-0000-5461","")</f>
        <v>3071-0000-5461</v>
      </c>
      <c r="B9437" s="4" t="s">
        <v>6916</v>
      </c>
      <c r="C9437" s="5">
        <v>41489</v>
      </c>
      <c r="D9437" s="5">
        <v>41549</v>
      </c>
      <c r="E9437" s="4" t="s">
        <v>5185</v>
      </c>
      <c r="F9437" s="4" t="s">
        <v>5185</v>
      </c>
    </row>
    <row r="9438" spans="1:6" x14ac:dyDescent="0.25">
      <c r="A9438" s="4" t="str">
        <f>CONCATENATE("3071-0000-5510","")</f>
        <v>3071-0000-5510</v>
      </c>
      <c r="B9438" s="4" t="s">
        <v>6923</v>
      </c>
      <c r="C9438" s="5">
        <v>41489</v>
      </c>
      <c r="D9438" s="5">
        <v>41549</v>
      </c>
      <c r="E9438" s="4" t="s">
        <v>5185</v>
      </c>
      <c r="F9438" s="4" t="s">
        <v>5250</v>
      </c>
    </row>
    <row r="9439" spans="1:6" x14ac:dyDescent="0.25">
      <c r="A9439" s="4" t="str">
        <f>CONCATENATE("3071-0000-5460","")</f>
        <v>3071-0000-5460</v>
      </c>
      <c r="B9439" s="4" t="s">
        <v>6889</v>
      </c>
      <c r="C9439" s="5">
        <v>41489</v>
      </c>
      <c r="D9439" s="5">
        <v>41549</v>
      </c>
      <c r="E9439" s="4" t="s">
        <v>5185</v>
      </c>
      <c r="F9439" s="4" t="s">
        <v>5185</v>
      </c>
    </row>
    <row r="9440" spans="1:6" x14ac:dyDescent="0.25">
      <c r="A9440" s="4" t="str">
        <f>CONCATENATE("3071-0000-7894","")</f>
        <v>3071-0000-7894</v>
      </c>
      <c r="B9440" s="4" t="s">
        <v>5509</v>
      </c>
      <c r="C9440" s="5">
        <v>41489</v>
      </c>
      <c r="D9440" s="5">
        <v>41549</v>
      </c>
      <c r="E9440" s="4" t="s">
        <v>5185</v>
      </c>
      <c r="F9440" s="4" t="s">
        <v>5250</v>
      </c>
    </row>
    <row r="9441" spans="1:6" x14ac:dyDescent="0.25">
      <c r="A9441" s="4" t="str">
        <f>CONCATENATE("3071-0000-5344","")</f>
        <v>3071-0000-5344</v>
      </c>
      <c r="B9441" s="4" t="s">
        <v>6843</v>
      </c>
      <c r="C9441" s="5">
        <v>41489</v>
      </c>
      <c r="D9441" s="5">
        <v>41549</v>
      </c>
      <c r="E9441" s="4" t="s">
        <v>5185</v>
      </c>
      <c r="F9441" s="4" t="s">
        <v>5185</v>
      </c>
    </row>
    <row r="9442" spans="1:6" x14ac:dyDescent="0.25">
      <c r="A9442" s="4" t="str">
        <f>CONCATENATE("3071-0000-7840","")</f>
        <v>3071-0000-7840</v>
      </c>
      <c r="B9442" s="4" t="s">
        <v>6184</v>
      </c>
      <c r="C9442" s="5">
        <v>41489</v>
      </c>
      <c r="D9442" s="5">
        <v>41549</v>
      </c>
      <c r="E9442" s="4" t="s">
        <v>5185</v>
      </c>
      <c r="F9442" s="4" t="s">
        <v>5185</v>
      </c>
    </row>
    <row r="9443" spans="1:6" x14ac:dyDescent="0.25">
      <c r="A9443" s="4" t="str">
        <f>CONCATENATE("3071-0000-8350","")</f>
        <v>3071-0000-8350</v>
      </c>
      <c r="B9443" s="4" t="s">
        <v>5653</v>
      </c>
      <c r="C9443" s="5">
        <v>41489</v>
      </c>
      <c r="D9443" s="5">
        <v>41549</v>
      </c>
      <c r="E9443" s="4" t="s">
        <v>5185</v>
      </c>
      <c r="F9443" s="4" t="s">
        <v>5250</v>
      </c>
    </row>
    <row r="9444" spans="1:6" x14ac:dyDescent="0.25">
      <c r="A9444" s="4" t="str">
        <f>CONCATENATE("3071-0000-8536","")</f>
        <v>3071-0000-8536</v>
      </c>
      <c r="B9444" s="4" t="s">
        <v>6132</v>
      </c>
      <c r="C9444" s="5">
        <v>41489</v>
      </c>
      <c r="D9444" s="5">
        <v>41549</v>
      </c>
      <c r="E9444" s="4" t="s">
        <v>5185</v>
      </c>
      <c r="F9444" s="4" t="s">
        <v>5945</v>
      </c>
    </row>
    <row r="9445" spans="1:6" x14ac:dyDescent="0.25">
      <c r="A9445" s="4" t="str">
        <f>CONCATENATE("3071-0000-8358","")</f>
        <v>3071-0000-8358</v>
      </c>
      <c r="B9445" s="4" t="s">
        <v>5725</v>
      </c>
      <c r="C9445" s="5">
        <v>41489</v>
      </c>
      <c r="D9445" s="5">
        <v>41549</v>
      </c>
      <c r="E9445" s="4" t="s">
        <v>5185</v>
      </c>
      <c r="F9445" s="4" t="s">
        <v>5185</v>
      </c>
    </row>
    <row r="9446" spans="1:6" x14ac:dyDescent="0.25">
      <c r="A9446" s="4" t="str">
        <f>CONCATENATE("3071-0000-6529","")</f>
        <v>3071-0000-6529</v>
      </c>
      <c r="B9446" s="4" t="s">
        <v>7955</v>
      </c>
      <c r="C9446" s="5">
        <v>41489</v>
      </c>
      <c r="D9446" s="5">
        <v>41549</v>
      </c>
      <c r="E9446" s="4" t="s">
        <v>5185</v>
      </c>
      <c r="F9446" s="4" t="s">
        <v>5185</v>
      </c>
    </row>
    <row r="9447" spans="1:6" x14ac:dyDescent="0.25">
      <c r="A9447" s="4" t="str">
        <f>CONCATENATE("3071-0000-6365","")</f>
        <v>3071-0000-6365</v>
      </c>
      <c r="B9447" s="4" t="s">
        <v>7891</v>
      </c>
      <c r="C9447" s="5">
        <v>41489</v>
      </c>
      <c r="D9447" s="5">
        <v>41549</v>
      </c>
      <c r="E9447" s="4" t="s">
        <v>5185</v>
      </c>
      <c r="F9447" s="4" t="s">
        <v>5185</v>
      </c>
    </row>
    <row r="9448" spans="1:6" x14ac:dyDescent="0.25">
      <c r="A9448" s="4" t="str">
        <f>CONCATENATE("3071-0000-7598","")</f>
        <v>3071-0000-7598</v>
      </c>
      <c r="B9448" s="4" t="s">
        <v>5096</v>
      </c>
      <c r="C9448" s="5">
        <v>41489</v>
      </c>
      <c r="D9448" s="5">
        <v>41549</v>
      </c>
      <c r="E9448" s="4" t="s">
        <v>1410</v>
      </c>
      <c r="F9448" s="4" t="s">
        <v>4616</v>
      </c>
    </row>
    <row r="9449" spans="1:6" x14ac:dyDescent="0.25">
      <c r="A9449" s="4" t="str">
        <f>CONCATENATE("3071-0000-7019","")</f>
        <v>3071-0000-7019</v>
      </c>
      <c r="B9449" s="4" t="s">
        <v>4656</v>
      </c>
      <c r="C9449" s="5">
        <v>41489</v>
      </c>
      <c r="D9449" s="5">
        <v>41549</v>
      </c>
      <c r="E9449" s="4" t="s">
        <v>1410</v>
      </c>
      <c r="F9449" s="4" t="s">
        <v>1410</v>
      </c>
    </row>
    <row r="9450" spans="1:6" x14ac:dyDescent="0.25">
      <c r="A9450" s="4" t="str">
        <f>CONCATENATE("3071-0000-1826","")</f>
        <v>3071-0000-1826</v>
      </c>
      <c r="B9450" s="4" t="s">
        <v>2547</v>
      </c>
      <c r="C9450" s="5">
        <v>41489</v>
      </c>
      <c r="D9450" s="5">
        <v>41549</v>
      </c>
      <c r="E9450" s="4" t="s">
        <v>1381</v>
      </c>
      <c r="F9450" s="4" t="s">
        <v>2303</v>
      </c>
    </row>
    <row r="9451" spans="1:6" x14ac:dyDescent="0.25">
      <c r="A9451" s="4" t="str">
        <f>CONCATENATE("3071-0000-9092","")</f>
        <v>3071-0000-9092</v>
      </c>
      <c r="B9451" s="4" t="s">
        <v>5300</v>
      </c>
      <c r="C9451" s="5">
        <v>41489</v>
      </c>
      <c r="D9451" s="5">
        <v>41549</v>
      </c>
      <c r="E9451" s="4" t="s">
        <v>5185</v>
      </c>
      <c r="F9451" s="4" t="s">
        <v>5185</v>
      </c>
    </row>
    <row r="9452" spans="1:6" x14ac:dyDescent="0.25">
      <c r="A9452" s="4" t="str">
        <f>CONCATENATE("3071-0000-6830","")</f>
        <v>3071-0000-6830</v>
      </c>
      <c r="B9452" s="4" t="s">
        <v>7876</v>
      </c>
      <c r="C9452" s="5">
        <v>41489</v>
      </c>
      <c r="D9452" s="5">
        <v>41549</v>
      </c>
      <c r="E9452" s="4" t="s">
        <v>1410</v>
      </c>
      <c r="F9452" s="4" t="s">
        <v>4655</v>
      </c>
    </row>
    <row r="9453" spans="1:6" x14ac:dyDescent="0.25">
      <c r="A9453" s="4" t="str">
        <f>CONCATENATE("3071-0000-6344","")</f>
        <v>3071-0000-6344</v>
      </c>
      <c r="B9453" s="4" t="s">
        <v>7860</v>
      </c>
      <c r="C9453" s="5">
        <v>41489</v>
      </c>
      <c r="D9453" s="5">
        <v>41549</v>
      </c>
      <c r="E9453" s="4" t="s">
        <v>5185</v>
      </c>
      <c r="F9453" s="4" t="s">
        <v>5185</v>
      </c>
    </row>
    <row r="9454" spans="1:6" x14ac:dyDescent="0.25">
      <c r="A9454" s="4" t="str">
        <f>CONCATENATE("3071-0000-7763","")</f>
        <v>3071-0000-7763</v>
      </c>
      <c r="B9454" s="4" t="s">
        <v>4680</v>
      </c>
      <c r="C9454" s="5">
        <v>41489</v>
      </c>
      <c r="D9454" s="5">
        <v>41549</v>
      </c>
      <c r="E9454" s="4" t="s">
        <v>1410</v>
      </c>
      <c r="F9454" s="4" t="s">
        <v>4655</v>
      </c>
    </row>
    <row r="9455" spans="1:6" x14ac:dyDescent="0.25">
      <c r="A9455" s="4" t="str">
        <f>CONCATENATE("3071-0000-6556","")</f>
        <v>3071-0000-6556</v>
      </c>
      <c r="B9455" s="4" t="s">
        <v>7805</v>
      </c>
      <c r="C9455" s="5">
        <v>41489</v>
      </c>
      <c r="D9455" s="5">
        <v>41549</v>
      </c>
      <c r="E9455" s="4" t="s">
        <v>5185</v>
      </c>
      <c r="F9455" s="4" t="s">
        <v>5185</v>
      </c>
    </row>
    <row r="9456" spans="1:6" x14ac:dyDescent="0.25">
      <c r="A9456" s="4" t="str">
        <f>CONCATENATE("3071-0000-6534","")</f>
        <v>3071-0000-6534</v>
      </c>
      <c r="B9456" s="4" t="s">
        <v>7961</v>
      </c>
      <c r="C9456" s="5">
        <v>41489</v>
      </c>
      <c r="D9456" s="5">
        <v>41549</v>
      </c>
      <c r="E9456" s="4" t="s">
        <v>5185</v>
      </c>
      <c r="F9456" s="4" t="s">
        <v>5185</v>
      </c>
    </row>
    <row r="9457" spans="1:6" x14ac:dyDescent="0.25">
      <c r="A9457" s="4" t="str">
        <f>CONCATENATE("3071-0000-7045","")</f>
        <v>3071-0000-7045</v>
      </c>
      <c r="B9457" s="4" t="s">
        <v>4813</v>
      </c>
      <c r="C9457" s="5">
        <v>41489</v>
      </c>
      <c r="D9457" s="5">
        <v>41549</v>
      </c>
      <c r="E9457" s="4" t="s">
        <v>1410</v>
      </c>
      <c r="F9457" s="4" t="s">
        <v>1410</v>
      </c>
    </row>
    <row r="9458" spans="1:6" x14ac:dyDescent="0.25">
      <c r="A9458" s="4" t="str">
        <f>CONCATENATE("3071-0000-7126","")</f>
        <v>3071-0000-7126</v>
      </c>
      <c r="B9458" s="4" t="s">
        <v>4801</v>
      </c>
      <c r="C9458" s="5">
        <v>41489</v>
      </c>
      <c r="D9458" s="5">
        <v>41549</v>
      </c>
      <c r="E9458" s="4" t="s">
        <v>1410</v>
      </c>
      <c r="F9458" s="4" t="s">
        <v>1410</v>
      </c>
    </row>
    <row r="9459" spans="1:6" x14ac:dyDescent="0.25">
      <c r="A9459" s="4" t="str">
        <f>CONCATENATE("3071-0000-6839","")</f>
        <v>3071-0000-6839</v>
      </c>
      <c r="B9459" s="4" t="s">
        <v>7972</v>
      </c>
      <c r="C9459" s="5">
        <v>41489</v>
      </c>
      <c r="D9459" s="5">
        <v>41549</v>
      </c>
      <c r="E9459" s="4" t="s">
        <v>1410</v>
      </c>
      <c r="F9459" s="4" t="s">
        <v>4655</v>
      </c>
    </row>
    <row r="9460" spans="1:6" x14ac:dyDescent="0.25">
      <c r="A9460" s="4" t="str">
        <f>CONCATENATE("3071-0000-6730","")</f>
        <v>3071-0000-6730</v>
      </c>
      <c r="B9460" s="4" t="s">
        <v>8036</v>
      </c>
      <c r="C9460" s="5">
        <v>41489</v>
      </c>
      <c r="D9460" s="5">
        <v>41549</v>
      </c>
      <c r="E9460" s="4" t="s">
        <v>5185</v>
      </c>
      <c r="F9460" s="4" t="s">
        <v>5185</v>
      </c>
    </row>
    <row r="9461" spans="1:6" x14ac:dyDescent="0.25">
      <c r="A9461" s="4" t="str">
        <f>CONCATENATE("3071-0000-6922","")</f>
        <v>3071-0000-6922</v>
      </c>
      <c r="B9461" s="4" t="s">
        <v>4603</v>
      </c>
      <c r="C9461" s="5">
        <v>41489</v>
      </c>
      <c r="D9461" s="5">
        <v>41549</v>
      </c>
      <c r="E9461" s="4" t="s">
        <v>1410</v>
      </c>
      <c r="F9461" s="4" t="s">
        <v>1410</v>
      </c>
    </row>
    <row r="9462" spans="1:6" x14ac:dyDescent="0.25">
      <c r="A9462" s="4" t="str">
        <f>CONCATENATE("3071-0000-4918","")</f>
        <v>3071-0000-4918</v>
      </c>
      <c r="B9462" s="4" t="s">
        <v>9548</v>
      </c>
      <c r="C9462" s="5">
        <v>41489</v>
      </c>
      <c r="D9462" s="5">
        <v>41549</v>
      </c>
      <c r="E9462" s="4" t="s">
        <v>7069</v>
      </c>
      <c r="F9462" s="4" t="s">
        <v>9485</v>
      </c>
    </row>
    <row r="9463" spans="1:6" x14ac:dyDescent="0.25">
      <c r="A9463" s="4" t="str">
        <f>CONCATENATE("3071-0000-4741","")</f>
        <v>3071-0000-4741</v>
      </c>
      <c r="B9463" s="4" t="s">
        <v>9647</v>
      </c>
      <c r="C9463" s="5">
        <v>41489</v>
      </c>
      <c r="D9463" s="5">
        <v>41549</v>
      </c>
      <c r="E9463" s="4" t="s">
        <v>1410</v>
      </c>
      <c r="F9463" s="4" t="s">
        <v>8696</v>
      </c>
    </row>
    <row r="9464" spans="1:6" x14ac:dyDescent="0.25">
      <c r="A9464" s="4" t="str">
        <f>CONCATENATE("3071-0000-4223","")</f>
        <v>3071-0000-4223</v>
      </c>
      <c r="B9464" s="4" t="s">
        <v>9484</v>
      </c>
      <c r="C9464" s="5">
        <v>41489</v>
      </c>
      <c r="D9464" s="5">
        <v>41549</v>
      </c>
      <c r="E9464" s="4" t="s">
        <v>7069</v>
      </c>
      <c r="F9464" s="4" t="s">
        <v>9485</v>
      </c>
    </row>
    <row r="9465" spans="1:6" x14ac:dyDescent="0.25">
      <c r="A9465" s="4" t="str">
        <f>CONCATENATE("3071-0000-5021","")</f>
        <v>3071-0000-5021</v>
      </c>
      <c r="B9465" s="4" t="s">
        <v>9551</v>
      </c>
      <c r="C9465" s="5">
        <v>41489</v>
      </c>
      <c r="D9465" s="5">
        <v>41549</v>
      </c>
      <c r="E9465" s="4" t="s">
        <v>7069</v>
      </c>
      <c r="F9465" s="4" t="s">
        <v>9485</v>
      </c>
    </row>
    <row r="9466" spans="1:6" x14ac:dyDescent="0.25">
      <c r="A9466" s="4" t="str">
        <f>CONCATENATE("3071-0000-4829","")</f>
        <v>3071-0000-4829</v>
      </c>
      <c r="B9466" s="4" t="s">
        <v>9547</v>
      </c>
      <c r="C9466" s="5">
        <v>41489</v>
      </c>
      <c r="D9466" s="5">
        <v>41549</v>
      </c>
      <c r="E9466" s="4" t="s">
        <v>1410</v>
      </c>
      <c r="F9466" s="4" t="s">
        <v>8696</v>
      </c>
    </row>
    <row r="9467" spans="1:6" x14ac:dyDescent="0.25">
      <c r="A9467" s="4" t="str">
        <f>CONCATENATE("3071-0000-7867","")</f>
        <v>3071-0000-7867</v>
      </c>
      <c r="B9467" s="4" t="s">
        <v>6198</v>
      </c>
      <c r="C9467" s="5">
        <v>41489</v>
      </c>
      <c r="D9467" s="5">
        <v>41549</v>
      </c>
      <c r="E9467" s="4" t="s">
        <v>5185</v>
      </c>
      <c r="F9467" s="4" t="s">
        <v>5185</v>
      </c>
    </row>
    <row r="9468" spans="1:6" x14ac:dyDescent="0.25">
      <c r="A9468" s="4" t="str">
        <f>CONCATENATE("3071-0000-5991","")</f>
        <v>3071-0000-5991</v>
      </c>
      <c r="B9468" s="4" t="s">
        <v>7231</v>
      </c>
      <c r="C9468" s="5">
        <v>41489</v>
      </c>
      <c r="D9468" s="5">
        <v>41549</v>
      </c>
      <c r="E9468" s="4" t="s">
        <v>5185</v>
      </c>
      <c r="F9468" s="4" t="s">
        <v>5185</v>
      </c>
    </row>
    <row r="9469" spans="1:6" x14ac:dyDescent="0.25">
      <c r="A9469" s="4" t="str">
        <f>CONCATENATE("3071-0000-5171","")</f>
        <v>3071-0000-5171</v>
      </c>
      <c r="B9469" s="4" t="s">
        <v>9000</v>
      </c>
      <c r="C9469" s="5">
        <v>41489</v>
      </c>
      <c r="D9469" s="5">
        <v>41549</v>
      </c>
      <c r="E9469" s="4" t="s">
        <v>1410</v>
      </c>
      <c r="F9469" s="4" t="s">
        <v>8903</v>
      </c>
    </row>
    <row r="9470" spans="1:6" x14ac:dyDescent="0.25">
      <c r="A9470" s="4" t="str">
        <f>CONCATENATE("3071-0000-6072","")</f>
        <v>3071-0000-6072</v>
      </c>
      <c r="B9470" s="4" t="s">
        <v>7634</v>
      </c>
      <c r="C9470" s="5">
        <v>41489</v>
      </c>
      <c r="D9470" s="5">
        <v>41549</v>
      </c>
      <c r="E9470" s="4" t="s">
        <v>1410</v>
      </c>
      <c r="F9470" s="4" t="s">
        <v>1410</v>
      </c>
    </row>
    <row r="9471" spans="1:6" x14ac:dyDescent="0.25">
      <c r="A9471" s="4" t="str">
        <f>CONCATENATE("3071-0000-6651","")</f>
        <v>3071-0000-6651</v>
      </c>
      <c r="B9471" s="4" t="s">
        <v>8240</v>
      </c>
      <c r="C9471" s="5">
        <v>41489</v>
      </c>
      <c r="D9471" s="5">
        <v>41549</v>
      </c>
      <c r="E9471" s="4" t="s">
        <v>5185</v>
      </c>
      <c r="F9471" s="4" t="s">
        <v>5185</v>
      </c>
    </row>
    <row r="9472" spans="1:6" x14ac:dyDescent="0.25">
      <c r="A9472" s="4" t="str">
        <f>CONCATENATE("3071-0000-6440","")</f>
        <v>3071-0000-6440</v>
      </c>
      <c r="B9472" s="4" t="s">
        <v>8152</v>
      </c>
      <c r="C9472" s="5">
        <v>41489</v>
      </c>
      <c r="D9472" s="5">
        <v>41549</v>
      </c>
      <c r="E9472" s="4" t="s">
        <v>5185</v>
      </c>
      <c r="F9472" s="4" t="s">
        <v>5185</v>
      </c>
    </row>
    <row r="9473" spans="1:6" x14ac:dyDescent="0.25">
      <c r="A9473" s="4" t="str">
        <f>CONCATENATE("3071-0000-6618","")</f>
        <v>3071-0000-6618</v>
      </c>
      <c r="B9473" s="4" t="s">
        <v>8195</v>
      </c>
      <c r="C9473" s="5">
        <v>41489</v>
      </c>
      <c r="D9473" s="5">
        <v>41549</v>
      </c>
      <c r="E9473" s="4" t="s">
        <v>5185</v>
      </c>
      <c r="F9473" s="4" t="s">
        <v>5185</v>
      </c>
    </row>
    <row r="9474" spans="1:6" x14ac:dyDescent="0.25">
      <c r="A9474" s="4" t="str">
        <f>CONCATENATE("3071-0000-0366","")</f>
        <v>3071-0000-0366</v>
      </c>
      <c r="B9474" s="4" t="s">
        <v>485</v>
      </c>
      <c r="C9474" s="5">
        <v>41489</v>
      </c>
      <c r="D9474" s="5">
        <v>41549</v>
      </c>
      <c r="E9474" s="4" t="s">
        <v>7</v>
      </c>
      <c r="F9474" s="4" t="s">
        <v>7</v>
      </c>
    </row>
    <row r="9475" spans="1:6" x14ac:dyDescent="0.25">
      <c r="A9475" s="4" t="str">
        <f>CONCATENATE("3071-0000-5027","")</f>
        <v>3071-0000-5027</v>
      </c>
      <c r="B9475" s="4" t="s">
        <v>9605</v>
      </c>
      <c r="C9475" s="5">
        <v>41489</v>
      </c>
      <c r="D9475" s="5">
        <v>41549</v>
      </c>
      <c r="E9475" s="4" t="s">
        <v>7069</v>
      </c>
      <c r="F9475" s="4" t="s">
        <v>9485</v>
      </c>
    </row>
    <row r="9476" spans="1:6" x14ac:dyDescent="0.25">
      <c r="A9476" s="4" t="str">
        <f>CONCATENATE("3071-0000-4588","")</f>
        <v>3071-0000-4588</v>
      </c>
      <c r="B9476" s="4" t="s">
        <v>9628</v>
      </c>
      <c r="C9476" s="5">
        <v>41489</v>
      </c>
      <c r="D9476" s="5">
        <v>41549</v>
      </c>
      <c r="E9476" s="4" t="s">
        <v>1410</v>
      </c>
      <c r="F9476" s="4" t="s">
        <v>8696</v>
      </c>
    </row>
    <row r="9477" spans="1:6" x14ac:dyDescent="0.25">
      <c r="A9477" s="4" t="str">
        <f>CONCATENATE("3071-0000-1219","")</f>
        <v>3071-0000-1219</v>
      </c>
      <c r="B9477" s="4" t="s">
        <v>2290</v>
      </c>
      <c r="C9477" s="5">
        <v>41489</v>
      </c>
      <c r="D9477" s="5">
        <v>41549</v>
      </c>
      <c r="E9477" s="4" t="s">
        <v>1381</v>
      </c>
      <c r="F9477" s="4" t="s">
        <v>2259</v>
      </c>
    </row>
    <row r="9478" spans="1:6" x14ac:dyDescent="0.25">
      <c r="A9478" s="4" t="str">
        <f>CONCATENATE("3071-0000-1034","")</f>
        <v>3071-0000-1034</v>
      </c>
      <c r="B9478" s="4" t="s">
        <v>2261</v>
      </c>
      <c r="C9478" s="5">
        <v>41489</v>
      </c>
      <c r="D9478" s="5">
        <v>41549</v>
      </c>
      <c r="E9478" s="4" t="s">
        <v>1857</v>
      </c>
      <c r="F9478" s="4" t="s">
        <v>1857</v>
      </c>
    </row>
    <row r="9479" spans="1:6" x14ac:dyDescent="0.25">
      <c r="A9479" s="4" t="str">
        <f>CONCATENATE("3071-0000-0250","")</f>
        <v>3071-0000-0250</v>
      </c>
      <c r="B9479" s="4" t="s">
        <v>356</v>
      </c>
      <c r="C9479" s="5">
        <v>41489</v>
      </c>
      <c r="D9479" s="5">
        <v>41549</v>
      </c>
      <c r="E9479" s="4" t="s">
        <v>7</v>
      </c>
      <c r="F9479" s="4" t="s">
        <v>7</v>
      </c>
    </row>
    <row r="9480" spans="1:6" x14ac:dyDescent="0.25">
      <c r="A9480" s="4" t="str">
        <f>CONCATENATE("3071-0000-1231","")</f>
        <v>3071-0000-1231</v>
      </c>
      <c r="B9480" s="4" t="s">
        <v>2280</v>
      </c>
      <c r="C9480" s="5">
        <v>41489</v>
      </c>
      <c r="D9480" s="5">
        <v>41549</v>
      </c>
      <c r="E9480" s="4" t="s">
        <v>1381</v>
      </c>
      <c r="F9480" s="4" t="s">
        <v>2259</v>
      </c>
    </row>
    <row r="9481" spans="1:6" x14ac:dyDescent="0.25">
      <c r="A9481" s="4" t="str">
        <f>CONCATENATE("3071-0000-8864","")</f>
        <v>3071-0000-8864</v>
      </c>
      <c r="B9481" s="4" t="s">
        <v>6348</v>
      </c>
      <c r="C9481" s="5">
        <v>41489</v>
      </c>
      <c r="D9481" s="5">
        <v>41549</v>
      </c>
      <c r="E9481" s="4" t="s">
        <v>5185</v>
      </c>
      <c r="F9481" s="4" t="s">
        <v>5292</v>
      </c>
    </row>
    <row r="9482" spans="1:6" x14ac:dyDescent="0.25">
      <c r="A9482" s="4" t="str">
        <f>CONCATENATE("3071-0000-3213","")</f>
        <v>3071-0000-3213</v>
      </c>
      <c r="B9482" s="4" t="s">
        <v>1150</v>
      </c>
      <c r="C9482" s="5">
        <v>41489</v>
      </c>
      <c r="D9482" s="5">
        <v>41549</v>
      </c>
      <c r="E9482" s="4" t="s">
        <v>7</v>
      </c>
      <c r="F9482" s="4" t="s">
        <v>808</v>
      </c>
    </row>
    <row r="9483" spans="1:6" x14ac:dyDescent="0.25">
      <c r="A9483" s="4" t="str">
        <f>CONCATENATE("3071-0000-9004","")</f>
        <v>3071-0000-9004</v>
      </c>
      <c r="B9483" s="4" t="s">
        <v>6347</v>
      </c>
      <c r="C9483" s="5">
        <v>41489</v>
      </c>
      <c r="D9483" s="5">
        <v>41549</v>
      </c>
      <c r="E9483" s="4" t="s">
        <v>5185</v>
      </c>
      <c r="F9483" s="4" t="s">
        <v>5292</v>
      </c>
    </row>
    <row r="9484" spans="1:6" x14ac:dyDescent="0.25">
      <c r="A9484" s="4" t="str">
        <f>CONCATENATE("3071-0000-8722","")</f>
        <v>3071-0000-8722</v>
      </c>
      <c r="B9484" s="4" t="s">
        <v>6353</v>
      </c>
      <c r="C9484" s="5">
        <v>41489</v>
      </c>
      <c r="D9484" s="5">
        <v>41549</v>
      </c>
      <c r="E9484" s="4" t="s">
        <v>5185</v>
      </c>
      <c r="F9484" s="4" t="s">
        <v>5292</v>
      </c>
    </row>
    <row r="9485" spans="1:6" x14ac:dyDescent="0.25">
      <c r="A9485" s="4" t="str">
        <f>CONCATENATE("3071-0000-8835","")</f>
        <v>3071-0000-8835</v>
      </c>
      <c r="B9485" s="4" t="s">
        <v>6358</v>
      </c>
      <c r="C9485" s="5">
        <v>41489</v>
      </c>
      <c r="D9485" s="5">
        <v>41549</v>
      </c>
      <c r="E9485" s="4" t="s">
        <v>5185</v>
      </c>
      <c r="F9485" s="4" t="s">
        <v>5292</v>
      </c>
    </row>
    <row r="9486" spans="1:6" x14ac:dyDescent="0.25">
      <c r="A9486" s="4" t="str">
        <f>CONCATENATE("3071-0000-8845","")</f>
        <v>3071-0000-8845</v>
      </c>
      <c r="B9486" s="4" t="s">
        <v>6478</v>
      </c>
      <c r="C9486" s="5">
        <v>41489</v>
      </c>
      <c r="D9486" s="5">
        <v>41549</v>
      </c>
      <c r="E9486" s="4" t="s">
        <v>5185</v>
      </c>
      <c r="F9486" s="4" t="s">
        <v>5292</v>
      </c>
    </row>
    <row r="9487" spans="1:6" x14ac:dyDescent="0.25">
      <c r="A9487" s="4" t="str">
        <f>CONCATENATE("3071-0000-9019","")</f>
        <v>3071-0000-9019</v>
      </c>
      <c r="B9487" s="4" t="s">
        <v>6504</v>
      </c>
      <c r="C9487" s="5">
        <v>41489</v>
      </c>
      <c r="D9487" s="5">
        <v>41549</v>
      </c>
      <c r="E9487" s="4" t="s">
        <v>5185</v>
      </c>
      <c r="F9487" s="4" t="s">
        <v>5292</v>
      </c>
    </row>
    <row r="9488" spans="1:6" x14ac:dyDescent="0.25">
      <c r="A9488" s="4" t="str">
        <f>CONCATENATE("3071-0000-9031","")</f>
        <v>3071-0000-9031</v>
      </c>
      <c r="B9488" s="4" t="s">
        <v>6585</v>
      </c>
      <c r="C9488" s="5">
        <v>41489</v>
      </c>
      <c r="D9488" s="5">
        <v>41549</v>
      </c>
      <c r="E9488" s="4" t="s">
        <v>5185</v>
      </c>
      <c r="F9488" s="4" t="s">
        <v>5292</v>
      </c>
    </row>
    <row r="9489" spans="1:6" x14ac:dyDescent="0.25">
      <c r="A9489" s="4" t="str">
        <f>CONCATENATE("3071-0000-5532","")</f>
        <v>3071-0000-5532</v>
      </c>
      <c r="B9489" s="4" t="s">
        <v>7394</v>
      </c>
      <c r="C9489" s="5">
        <v>41489</v>
      </c>
      <c r="D9489" s="5">
        <v>41549</v>
      </c>
      <c r="E9489" s="4" t="s">
        <v>5185</v>
      </c>
      <c r="F9489" s="4" t="s">
        <v>5185</v>
      </c>
    </row>
    <row r="9490" spans="1:6" x14ac:dyDescent="0.25">
      <c r="A9490" s="4" t="str">
        <f>CONCATENATE("3071-0000-5536","")</f>
        <v>3071-0000-5536</v>
      </c>
      <c r="B9490" s="4" t="s">
        <v>7364</v>
      </c>
      <c r="C9490" s="5">
        <v>41489</v>
      </c>
      <c r="D9490" s="5">
        <v>41549</v>
      </c>
      <c r="E9490" s="4" t="s">
        <v>5185</v>
      </c>
      <c r="F9490" s="4" t="s">
        <v>5185</v>
      </c>
    </row>
    <row r="9491" spans="1:6" x14ac:dyDescent="0.25">
      <c r="A9491" s="4" t="str">
        <f>CONCATENATE("3071-0000-8770","")</f>
        <v>3071-0000-8770</v>
      </c>
      <c r="B9491" s="4" t="s">
        <v>6399</v>
      </c>
      <c r="C9491" s="5">
        <v>41489</v>
      </c>
      <c r="D9491" s="5">
        <v>41549</v>
      </c>
      <c r="E9491" s="4" t="s">
        <v>5185</v>
      </c>
      <c r="F9491" s="4" t="s">
        <v>5292</v>
      </c>
    </row>
    <row r="9492" spans="1:6" x14ac:dyDescent="0.25">
      <c r="A9492" s="4" t="str">
        <f>CONCATENATE("3071-0000-5857","")</f>
        <v>3071-0000-5857</v>
      </c>
      <c r="B9492" s="4" t="s">
        <v>7386</v>
      </c>
      <c r="C9492" s="5">
        <v>41489</v>
      </c>
      <c r="D9492" s="5">
        <v>41549</v>
      </c>
      <c r="E9492" s="4" t="s">
        <v>5185</v>
      </c>
      <c r="F9492" s="4" t="s">
        <v>5185</v>
      </c>
    </row>
    <row r="9493" spans="1:6" x14ac:dyDescent="0.25">
      <c r="A9493" s="4" t="str">
        <f>CONCATENATE("3071-0000-8674","")</f>
        <v>3071-0000-8674</v>
      </c>
      <c r="B9493" s="4" t="s">
        <v>6386</v>
      </c>
      <c r="C9493" s="5">
        <v>41489</v>
      </c>
      <c r="D9493" s="5">
        <v>41549</v>
      </c>
      <c r="E9493" s="4" t="s">
        <v>5185</v>
      </c>
      <c r="F9493" s="4" t="s">
        <v>5292</v>
      </c>
    </row>
    <row r="9494" spans="1:6" x14ac:dyDescent="0.25">
      <c r="A9494" s="4" t="str">
        <f>CONCATENATE("3071-0000-8648","")</f>
        <v>3071-0000-8648</v>
      </c>
      <c r="B9494" s="4" t="s">
        <v>6422</v>
      </c>
      <c r="C9494" s="5">
        <v>41489</v>
      </c>
      <c r="D9494" s="5">
        <v>41549</v>
      </c>
      <c r="E9494" s="4" t="s">
        <v>5185</v>
      </c>
      <c r="F9494" s="4" t="s">
        <v>5292</v>
      </c>
    </row>
    <row r="9495" spans="1:6" x14ac:dyDescent="0.25">
      <c r="A9495" s="4" t="str">
        <f>CONCATENATE("3071-0000-7807","")</f>
        <v>3071-0000-7807</v>
      </c>
      <c r="B9495" s="4" t="s">
        <v>5481</v>
      </c>
      <c r="C9495" s="5">
        <v>41489</v>
      </c>
      <c r="D9495" s="5">
        <v>41549</v>
      </c>
      <c r="E9495" s="4" t="s">
        <v>5185</v>
      </c>
      <c r="F9495" s="4" t="s">
        <v>5185</v>
      </c>
    </row>
    <row r="9496" spans="1:6" x14ac:dyDescent="0.25">
      <c r="A9496" s="4" t="str">
        <f>CONCATENATE("3071-0000-9202","")</f>
        <v>3071-0000-9202</v>
      </c>
      <c r="B9496" s="4" t="s">
        <v>5232</v>
      </c>
      <c r="C9496" s="5">
        <v>41489</v>
      </c>
      <c r="D9496" s="5">
        <v>41549</v>
      </c>
      <c r="E9496" s="4" t="s">
        <v>5185</v>
      </c>
      <c r="F9496" s="4" t="s">
        <v>5185</v>
      </c>
    </row>
    <row r="9497" spans="1:6" x14ac:dyDescent="0.25">
      <c r="A9497" s="4" t="str">
        <f>CONCATENATE("3071-0000-9101","")</f>
        <v>3071-0000-9101</v>
      </c>
      <c r="B9497" s="4" t="s">
        <v>5260</v>
      </c>
      <c r="C9497" s="5">
        <v>41489</v>
      </c>
      <c r="D9497" s="5">
        <v>41549</v>
      </c>
      <c r="E9497" s="4" t="s">
        <v>5185</v>
      </c>
      <c r="F9497" s="4" t="s">
        <v>5185</v>
      </c>
    </row>
    <row r="9498" spans="1:6" x14ac:dyDescent="0.25">
      <c r="A9498" s="4" t="str">
        <f>CONCATENATE("3071-0000-0340","")</f>
        <v>3071-0000-0340</v>
      </c>
      <c r="B9498" s="4" t="s">
        <v>728</v>
      </c>
      <c r="C9498" s="5">
        <v>41489</v>
      </c>
      <c r="D9498" s="5">
        <v>41549</v>
      </c>
      <c r="E9498" s="4" t="s">
        <v>7</v>
      </c>
      <c r="F9498" s="4" t="s">
        <v>7</v>
      </c>
    </row>
    <row r="9499" spans="1:6" x14ac:dyDescent="0.25">
      <c r="A9499" s="4" t="str">
        <f>CONCATENATE("3071-0000-9398","")</f>
        <v>3071-0000-9398</v>
      </c>
      <c r="B9499" s="4" t="s">
        <v>8481</v>
      </c>
      <c r="C9499" s="5">
        <v>41489</v>
      </c>
      <c r="D9499" s="5">
        <v>41549</v>
      </c>
      <c r="E9499" s="4" t="s">
        <v>1410</v>
      </c>
      <c r="F9499" s="4" t="s">
        <v>4459</v>
      </c>
    </row>
    <row r="9500" spans="1:6" x14ac:dyDescent="0.25">
      <c r="A9500" s="4" t="str">
        <f>CONCATENATE("3071-0000-7632","")</f>
        <v>3071-0000-7632</v>
      </c>
      <c r="B9500" s="4" t="s">
        <v>5184</v>
      </c>
      <c r="C9500" s="5">
        <v>41489</v>
      </c>
      <c r="D9500" s="5">
        <v>41549</v>
      </c>
      <c r="E9500" s="4" t="s">
        <v>1410</v>
      </c>
      <c r="F9500" s="4" t="s">
        <v>4616</v>
      </c>
    </row>
    <row r="9501" spans="1:6" x14ac:dyDescent="0.25">
      <c r="A9501" s="4" t="str">
        <f>CONCATENATE("3071-0000-8717","")</f>
        <v>3071-0000-8717</v>
      </c>
      <c r="B9501" s="4" t="s">
        <v>6361</v>
      </c>
      <c r="C9501" s="5">
        <v>41489</v>
      </c>
      <c r="D9501" s="5">
        <v>41549</v>
      </c>
      <c r="E9501" s="4" t="s">
        <v>5185</v>
      </c>
      <c r="F9501" s="4" t="s">
        <v>5292</v>
      </c>
    </row>
    <row r="9502" spans="1:6" x14ac:dyDescent="0.25">
      <c r="A9502" s="4" t="str">
        <f>CONCATENATE("3071-0000-8661","")</f>
        <v>3071-0000-8661</v>
      </c>
      <c r="B9502" s="4" t="s">
        <v>6443</v>
      </c>
      <c r="C9502" s="5">
        <v>41489</v>
      </c>
      <c r="D9502" s="5">
        <v>41549</v>
      </c>
      <c r="E9502" s="4" t="s">
        <v>5185</v>
      </c>
      <c r="F9502" s="4" t="s">
        <v>5292</v>
      </c>
    </row>
    <row r="9503" spans="1:6" x14ac:dyDescent="0.25">
      <c r="A9503" s="4" t="str">
        <f>CONCATENATE("3071-0000-8860","")</f>
        <v>3071-0000-8860</v>
      </c>
      <c r="B9503" s="4" t="s">
        <v>6406</v>
      </c>
      <c r="C9503" s="5">
        <v>41489</v>
      </c>
      <c r="D9503" s="5">
        <v>41549</v>
      </c>
      <c r="E9503" s="4" t="s">
        <v>5185</v>
      </c>
      <c r="F9503" s="4" t="s">
        <v>5292</v>
      </c>
    </row>
    <row r="9504" spans="1:6" x14ac:dyDescent="0.25">
      <c r="A9504" s="4" t="str">
        <f>CONCATENATE("3071-0000-0667","")</f>
        <v>3071-0000-0667</v>
      </c>
      <c r="B9504" s="4" t="s">
        <v>798</v>
      </c>
      <c r="C9504" s="5">
        <v>41489</v>
      </c>
      <c r="D9504" s="5">
        <v>41549</v>
      </c>
      <c r="E9504" s="4" t="s">
        <v>7</v>
      </c>
      <c r="F9504" s="4" t="s">
        <v>7</v>
      </c>
    </row>
    <row r="9505" spans="1:6" x14ac:dyDescent="0.25">
      <c r="A9505" s="4" t="str">
        <f>CONCATENATE("3071-0000-7696","")</f>
        <v>3071-0000-7696</v>
      </c>
      <c r="B9505" s="4" t="s">
        <v>4730</v>
      </c>
      <c r="C9505" s="5">
        <v>41489</v>
      </c>
      <c r="D9505" s="5">
        <v>41549</v>
      </c>
      <c r="E9505" s="4" t="s">
        <v>1410</v>
      </c>
      <c r="F9505" s="4" t="s">
        <v>4655</v>
      </c>
    </row>
    <row r="9506" spans="1:6" x14ac:dyDescent="0.25">
      <c r="A9506" s="4" t="str">
        <f>CONCATENATE("3071-0000-7486","")</f>
        <v>3071-0000-7486</v>
      </c>
      <c r="B9506" s="4" t="s">
        <v>4403</v>
      </c>
      <c r="C9506" s="5">
        <v>41489</v>
      </c>
      <c r="D9506" s="5">
        <v>41549</v>
      </c>
      <c r="E9506" s="4" t="s">
        <v>1410</v>
      </c>
      <c r="F9506" s="4" t="s">
        <v>1410</v>
      </c>
    </row>
    <row r="9507" spans="1:6" x14ac:dyDescent="0.25">
      <c r="A9507" s="4" t="str">
        <f>CONCATENATE("3071-0000-7554","")</f>
        <v>3071-0000-7554</v>
      </c>
      <c r="B9507" s="4" t="s">
        <v>4379</v>
      </c>
      <c r="C9507" s="5">
        <v>41489</v>
      </c>
      <c r="D9507" s="5">
        <v>41549</v>
      </c>
      <c r="E9507" s="4" t="s">
        <v>1410</v>
      </c>
      <c r="F9507" s="4" t="s">
        <v>1410</v>
      </c>
    </row>
    <row r="9508" spans="1:6" x14ac:dyDescent="0.25">
      <c r="A9508" s="4" t="str">
        <f>CONCATENATE("3071-0000-7485","")</f>
        <v>3071-0000-7485</v>
      </c>
      <c r="B9508" s="4" t="s">
        <v>4430</v>
      </c>
      <c r="C9508" s="5">
        <v>41489</v>
      </c>
      <c r="D9508" s="5">
        <v>41549</v>
      </c>
      <c r="E9508" s="4" t="s">
        <v>1410</v>
      </c>
      <c r="F9508" s="4" t="s">
        <v>1410</v>
      </c>
    </row>
    <row r="9509" spans="1:6" x14ac:dyDescent="0.25">
      <c r="A9509" s="4" t="str">
        <f>CONCATENATE("3071-0000-7573","")</f>
        <v>3071-0000-7573</v>
      </c>
      <c r="B9509" s="4" t="s">
        <v>4299</v>
      </c>
      <c r="C9509" s="5">
        <v>41489</v>
      </c>
      <c r="D9509" s="5">
        <v>41549</v>
      </c>
      <c r="E9509" s="4" t="s">
        <v>1410</v>
      </c>
      <c r="F9509" s="4" t="s">
        <v>1410</v>
      </c>
    </row>
    <row r="9510" spans="1:6" x14ac:dyDescent="0.25">
      <c r="A9510" s="4" t="str">
        <f>CONCATENATE("3071-0000-1714","")</f>
        <v>3071-0000-1714</v>
      </c>
      <c r="B9510" s="4" t="s">
        <v>2512</v>
      </c>
      <c r="C9510" s="5">
        <v>41489</v>
      </c>
      <c r="D9510" s="5">
        <v>41549</v>
      </c>
      <c r="E9510" s="4" t="s">
        <v>1381</v>
      </c>
      <c r="F9510" s="4" t="s">
        <v>2303</v>
      </c>
    </row>
    <row r="9511" spans="1:6" x14ac:dyDescent="0.25">
      <c r="A9511" s="4" t="str">
        <f>CONCATENATE("3071-0000-0860","")</f>
        <v>3071-0000-0860</v>
      </c>
      <c r="B9511" s="4" t="s">
        <v>1954</v>
      </c>
      <c r="C9511" s="5">
        <v>41489</v>
      </c>
      <c r="D9511" s="5">
        <v>41549</v>
      </c>
      <c r="E9511" s="4" t="s">
        <v>1857</v>
      </c>
      <c r="F9511" s="4" t="s">
        <v>1857</v>
      </c>
    </row>
    <row r="9512" spans="1:6" x14ac:dyDescent="0.25">
      <c r="A9512" s="4" t="str">
        <f>CONCATENATE("3071-0000-0874","")</f>
        <v>3071-0000-0874</v>
      </c>
      <c r="B9512" s="4" t="s">
        <v>1986</v>
      </c>
      <c r="C9512" s="5">
        <v>41489</v>
      </c>
      <c r="D9512" s="5">
        <v>41549</v>
      </c>
      <c r="E9512" s="4" t="s">
        <v>1857</v>
      </c>
      <c r="F9512" s="4" t="s">
        <v>1857</v>
      </c>
    </row>
    <row r="9513" spans="1:6" x14ac:dyDescent="0.25">
      <c r="A9513" s="4" t="str">
        <f>CONCATENATE("3071-0000-1173","")</f>
        <v>3071-0000-1173</v>
      </c>
      <c r="B9513" s="4" t="s">
        <v>2002</v>
      </c>
      <c r="C9513" s="5">
        <v>41489</v>
      </c>
      <c r="D9513" s="5">
        <v>41549</v>
      </c>
      <c r="E9513" s="4" t="s">
        <v>1857</v>
      </c>
      <c r="F9513" s="4" t="s">
        <v>1857</v>
      </c>
    </row>
    <row r="9514" spans="1:6" x14ac:dyDescent="0.25">
      <c r="A9514" s="4" t="str">
        <f>CONCATENATE("3071-0000-0184","")</f>
        <v>3071-0000-0184</v>
      </c>
      <c r="B9514" s="4" t="s">
        <v>383</v>
      </c>
      <c r="C9514" s="5">
        <v>41489</v>
      </c>
      <c r="D9514" s="5">
        <v>41549</v>
      </c>
      <c r="E9514" s="4" t="s">
        <v>7</v>
      </c>
      <c r="F9514" s="4" t="s">
        <v>7</v>
      </c>
    </row>
    <row r="9515" spans="1:6" x14ac:dyDescent="0.25">
      <c r="A9515" s="4" t="str">
        <f>CONCATENATE("3071-0000-0073","")</f>
        <v>3071-0000-0073</v>
      </c>
      <c r="B9515" s="4" t="s">
        <v>139</v>
      </c>
      <c r="C9515" s="5">
        <v>41489</v>
      </c>
      <c r="D9515" s="5">
        <v>41549</v>
      </c>
      <c r="E9515" s="4" t="s">
        <v>7</v>
      </c>
      <c r="F9515" s="4" t="s">
        <v>7</v>
      </c>
    </row>
    <row r="9516" spans="1:6" x14ac:dyDescent="0.25">
      <c r="A9516" s="4" t="str">
        <f>CONCATENATE("3071-0000-8433","")</f>
        <v>3071-0000-8433</v>
      </c>
      <c r="B9516" s="4" t="s">
        <v>5280</v>
      </c>
      <c r="C9516" s="5">
        <v>41489</v>
      </c>
      <c r="D9516" s="5">
        <v>41549</v>
      </c>
      <c r="E9516" s="4" t="s">
        <v>5185</v>
      </c>
      <c r="F9516" s="4" t="s">
        <v>5185</v>
      </c>
    </row>
    <row r="9517" spans="1:6" x14ac:dyDescent="0.25">
      <c r="A9517" s="4" t="str">
        <f>CONCATENATE("3071-0000-6672","")</f>
        <v>3071-0000-6672</v>
      </c>
      <c r="B9517" s="4" t="s">
        <v>7753</v>
      </c>
      <c r="C9517" s="5">
        <v>41489</v>
      </c>
      <c r="D9517" s="5">
        <v>41549</v>
      </c>
      <c r="E9517" s="4" t="s">
        <v>1410</v>
      </c>
      <c r="F9517" s="4" t="s">
        <v>4655</v>
      </c>
    </row>
    <row r="9518" spans="1:6" x14ac:dyDescent="0.25">
      <c r="A9518" s="4" t="str">
        <f>CONCATENATE("3071-0000-3401","")</f>
        <v>3071-0000-3401</v>
      </c>
      <c r="B9518" s="4" t="s">
        <v>1557</v>
      </c>
      <c r="C9518" s="5">
        <v>41489</v>
      </c>
      <c r="D9518" s="5">
        <v>41549</v>
      </c>
      <c r="E9518" s="4" t="s">
        <v>1410</v>
      </c>
      <c r="F9518" s="4" t="s">
        <v>1411</v>
      </c>
    </row>
    <row r="9519" spans="1:6" x14ac:dyDescent="0.25">
      <c r="A9519" s="4" t="str">
        <f>CONCATENATE("3071-0000-3346","")</f>
        <v>3071-0000-3346</v>
      </c>
      <c r="B9519" s="4" t="s">
        <v>1469</v>
      </c>
      <c r="C9519" s="5">
        <v>41489</v>
      </c>
      <c r="D9519" s="5">
        <v>41549</v>
      </c>
      <c r="E9519" s="4" t="s">
        <v>1410</v>
      </c>
      <c r="F9519" s="4" t="s">
        <v>1411</v>
      </c>
    </row>
    <row r="9520" spans="1:6" x14ac:dyDescent="0.25">
      <c r="A9520" s="4" t="str">
        <f>CONCATENATE("3071-0000-1534","")</f>
        <v>3071-0000-1534</v>
      </c>
      <c r="B9520" s="4" t="s">
        <v>2758</v>
      </c>
      <c r="C9520" s="5">
        <v>41489</v>
      </c>
      <c r="D9520" s="5">
        <v>41549</v>
      </c>
      <c r="E9520" s="4" t="s">
        <v>1381</v>
      </c>
      <c r="F9520" s="4" t="s">
        <v>2303</v>
      </c>
    </row>
    <row r="9521" spans="1:6" x14ac:dyDescent="0.25">
      <c r="A9521" s="4" t="str">
        <f>CONCATENATE("3071-0000-1841","")</f>
        <v>3071-0000-1841</v>
      </c>
      <c r="B9521" s="4" t="s">
        <v>2760</v>
      </c>
      <c r="C9521" s="5">
        <v>41489</v>
      </c>
      <c r="D9521" s="5">
        <v>41549</v>
      </c>
      <c r="E9521" s="4" t="s">
        <v>1381</v>
      </c>
      <c r="F9521" s="4" t="s">
        <v>1382</v>
      </c>
    </row>
    <row r="9522" spans="1:6" x14ac:dyDescent="0.25">
      <c r="A9522" s="4" t="str">
        <f>CONCATENATE("3071-0000-5554","")</f>
        <v>3071-0000-5554</v>
      </c>
      <c r="B9522" s="4" t="s">
        <v>7378</v>
      </c>
      <c r="C9522" s="5">
        <v>41489</v>
      </c>
      <c r="D9522" s="5">
        <v>41549</v>
      </c>
      <c r="E9522" s="4" t="s">
        <v>5185</v>
      </c>
      <c r="F9522" s="4" t="s">
        <v>5185</v>
      </c>
    </row>
    <row r="9523" spans="1:6" x14ac:dyDescent="0.25">
      <c r="A9523" s="4" t="str">
        <f>CONCATENATE("3071-0000-5600","")</f>
        <v>3071-0000-5600</v>
      </c>
      <c r="B9523" s="4" t="s">
        <v>7137</v>
      </c>
      <c r="C9523" s="5">
        <v>41489</v>
      </c>
      <c r="D9523" s="5">
        <v>41549</v>
      </c>
      <c r="E9523" s="4" t="s">
        <v>5185</v>
      </c>
      <c r="F9523" s="4" t="s">
        <v>5185</v>
      </c>
    </row>
    <row r="9524" spans="1:6" x14ac:dyDescent="0.25">
      <c r="A9524" s="4" t="str">
        <f>CONCATENATE("3071-0000-3752","")</f>
        <v>3071-0000-3752</v>
      </c>
      <c r="B9524" s="4" t="s">
        <v>1757</v>
      </c>
      <c r="C9524" s="5">
        <v>41489</v>
      </c>
      <c r="D9524" s="5">
        <v>41549</v>
      </c>
      <c r="E9524" s="4" t="s">
        <v>1410</v>
      </c>
      <c r="F9524" s="4" t="s">
        <v>1411</v>
      </c>
    </row>
    <row r="9525" spans="1:6" x14ac:dyDescent="0.25">
      <c r="A9525" s="4" t="str">
        <f>CONCATENATE("3071-0000-8740","")</f>
        <v>3071-0000-8740</v>
      </c>
      <c r="B9525" s="4" t="s">
        <v>6525</v>
      </c>
      <c r="C9525" s="5">
        <v>41489</v>
      </c>
      <c r="D9525" s="5">
        <v>41549</v>
      </c>
      <c r="E9525" s="4" t="s">
        <v>5185</v>
      </c>
      <c r="F9525" s="4" t="s">
        <v>5292</v>
      </c>
    </row>
    <row r="9526" spans="1:6" x14ac:dyDescent="0.25">
      <c r="A9526" s="4" t="str">
        <f>CONCATENATE("3071-0000-1755","")</f>
        <v>3071-0000-1755</v>
      </c>
      <c r="B9526" s="4" t="s">
        <v>2764</v>
      </c>
      <c r="C9526" s="5">
        <v>41489</v>
      </c>
      <c r="D9526" s="5">
        <v>41549</v>
      </c>
      <c r="E9526" s="4" t="s">
        <v>1381</v>
      </c>
      <c r="F9526" s="4" t="s">
        <v>1382</v>
      </c>
    </row>
    <row r="9527" spans="1:6" x14ac:dyDescent="0.25">
      <c r="A9527" s="4" t="str">
        <f>CONCATENATE("3071-0000-3463","")</f>
        <v>3071-0000-3463</v>
      </c>
      <c r="B9527" s="4" t="s">
        <v>1751</v>
      </c>
      <c r="C9527" s="5">
        <v>41489</v>
      </c>
      <c r="D9527" s="5">
        <v>41549</v>
      </c>
      <c r="E9527" s="4" t="s">
        <v>1410</v>
      </c>
      <c r="F9527" s="4" t="s">
        <v>1411</v>
      </c>
    </row>
    <row r="9528" spans="1:6" x14ac:dyDescent="0.25">
      <c r="A9528" s="4" t="str">
        <f>CONCATENATE("3071-0000-1600","")</f>
        <v>3071-0000-1600</v>
      </c>
      <c r="B9528" s="4" t="s">
        <v>2431</v>
      </c>
      <c r="C9528" s="5">
        <v>41489</v>
      </c>
      <c r="D9528" s="5">
        <v>41549</v>
      </c>
      <c r="E9528" s="4" t="s">
        <v>1381</v>
      </c>
      <c r="F9528" s="4" t="s">
        <v>2303</v>
      </c>
    </row>
    <row r="9529" spans="1:6" x14ac:dyDescent="0.25">
      <c r="A9529" s="4" t="str">
        <f>CONCATENATE("3071-0000-1047","")</f>
        <v>3071-0000-1047</v>
      </c>
      <c r="B9529" s="4" t="s">
        <v>2072</v>
      </c>
      <c r="C9529" s="5">
        <v>41489</v>
      </c>
      <c r="D9529" s="5">
        <v>41549</v>
      </c>
      <c r="E9529" s="4" t="s">
        <v>1857</v>
      </c>
      <c r="F9529" s="4" t="s">
        <v>1857</v>
      </c>
    </row>
    <row r="9530" spans="1:6" x14ac:dyDescent="0.25">
      <c r="A9530" s="4" t="str">
        <f>CONCATENATE("3071-0000-1989","")</f>
        <v>3071-0000-1989</v>
      </c>
      <c r="B9530" s="4" t="s">
        <v>3131</v>
      </c>
      <c r="C9530" s="5">
        <v>41489</v>
      </c>
      <c r="D9530" s="5">
        <v>41549</v>
      </c>
      <c r="E9530" s="4" t="s">
        <v>2944</v>
      </c>
      <c r="F9530" s="4" t="s">
        <v>2945</v>
      </c>
    </row>
    <row r="9531" spans="1:6" x14ac:dyDescent="0.25">
      <c r="A9531" s="4" t="str">
        <f>CONCATENATE("3071-0000-1988","")</f>
        <v>3071-0000-1988</v>
      </c>
      <c r="B9531" s="4" t="s">
        <v>3130</v>
      </c>
      <c r="C9531" s="5">
        <v>41489</v>
      </c>
      <c r="D9531" s="5">
        <v>41549</v>
      </c>
      <c r="E9531" s="4" t="s">
        <v>2944</v>
      </c>
      <c r="F9531" s="4" t="s">
        <v>2945</v>
      </c>
    </row>
    <row r="9532" spans="1:6" x14ac:dyDescent="0.25">
      <c r="A9532" s="4" t="str">
        <f>CONCATENATE("3071-0000-3784","")</f>
        <v>3071-0000-3784</v>
      </c>
      <c r="B9532" s="4" t="s">
        <v>3817</v>
      </c>
      <c r="C9532" s="5">
        <v>41489</v>
      </c>
      <c r="D9532" s="5">
        <v>41549</v>
      </c>
      <c r="E9532" s="4" t="s">
        <v>7</v>
      </c>
      <c r="F9532" s="4" t="s">
        <v>3818</v>
      </c>
    </row>
    <row r="9533" spans="1:6" x14ac:dyDescent="0.25">
      <c r="A9533" s="4" t="str">
        <f>CONCATENATE("3071-0000-0938","")</f>
        <v>3071-0000-0938</v>
      </c>
      <c r="B9533" s="4" t="s">
        <v>2071</v>
      </c>
      <c r="C9533" s="5">
        <v>41489</v>
      </c>
      <c r="D9533" s="5">
        <v>41549</v>
      </c>
      <c r="E9533" s="4" t="s">
        <v>1857</v>
      </c>
      <c r="F9533" s="4" t="s">
        <v>1857</v>
      </c>
    </row>
    <row r="9534" spans="1:6" x14ac:dyDescent="0.25">
      <c r="A9534" s="4" t="str">
        <f>CONCATENATE("3071-0000-0937","")</f>
        <v>3071-0000-0937</v>
      </c>
      <c r="B9534" s="4" t="s">
        <v>2070</v>
      </c>
      <c r="C9534" s="5">
        <v>41489</v>
      </c>
      <c r="D9534" s="5">
        <v>41549</v>
      </c>
      <c r="E9534" s="4" t="s">
        <v>1857</v>
      </c>
      <c r="F9534" s="4" t="s">
        <v>1857</v>
      </c>
    </row>
    <row r="9535" spans="1:6" x14ac:dyDescent="0.25">
      <c r="A9535" s="4" t="str">
        <f>CONCATENATE("3071-0000-0935","")</f>
        <v>3071-0000-0935</v>
      </c>
      <c r="B9535" s="4" t="s">
        <v>2073</v>
      </c>
      <c r="C9535" s="5">
        <v>41489</v>
      </c>
      <c r="D9535" s="5">
        <v>41549</v>
      </c>
      <c r="E9535" s="4" t="s">
        <v>1857</v>
      </c>
      <c r="F9535" s="4" t="s">
        <v>1857</v>
      </c>
    </row>
    <row r="9536" spans="1:6" x14ac:dyDescent="0.25">
      <c r="A9536" s="4" t="str">
        <f>CONCATENATE("3071-0000-4499","")</f>
        <v>3071-0000-4499</v>
      </c>
      <c r="B9536" s="4" t="s">
        <v>9496</v>
      </c>
      <c r="C9536" s="5">
        <v>41489</v>
      </c>
      <c r="D9536" s="5">
        <v>41549</v>
      </c>
      <c r="E9536" s="4" t="s">
        <v>1410</v>
      </c>
      <c r="F9536" s="4" t="s">
        <v>8696</v>
      </c>
    </row>
    <row r="9537" spans="1:6" x14ac:dyDescent="0.25">
      <c r="A9537" s="4" t="str">
        <f>CONCATENATE("3071-0000-7299","")</f>
        <v>3071-0000-7299</v>
      </c>
      <c r="B9537" s="4" t="s">
        <v>4392</v>
      </c>
      <c r="C9537" s="5">
        <v>41489</v>
      </c>
      <c r="D9537" s="5">
        <v>41549</v>
      </c>
      <c r="E9537" s="4" t="s">
        <v>1410</v>
      </c>
      <c r="F9537" s="4" t="s">
        <v>1410</v>
      </c>
    </row>
    <row r="9538" spans="1:6" x14ac:dyDescent="0.25">
      <c r="A9538" s="4" t="str">
        <f>CONCATENATE("3071-0000-4473","")</f>
        <v>3071-0000-4473</v>
      </c>
      <c r="B9538" s="4" t="s">
        <v>9363</v>
      </c>
      <c r="C9538" s="5">
        <v>41489</v>
      </c>
      <c r="D9538" s="5">
        <v>41549</v>
      </c>
      <c r="E9538" s="4" t="s">
        <v>1410</v>
      </c>
      <c r="F9538" s="4" t="s">
        <v>8696</v>
      </c>
    </row>
    <row r="9539" spans="1:6" x14ac:dyDescent="0.25">
      <c r="A9539" s="4" t="str">
        <f>CONCATENATE("3071-0000-7550","")</f>
        <v>3071-0000-7550</v>
      </c>
      <c r="B9539" s="4" t="s">
        <v>4944</v>
      </c>
      <c r="C9539" s="5">
        <v>41489</v>
      </c>
      <c r="D9539" s="5">
        <v>41549</v>
      </c>
      <c r="E9539" s="4" t="s">
        <v>1410</v>
      </c>
      <c r="F9539" s="4" t="s">
        <v>4616</v>
      </c>
    </row>
    <row r="9540" spans="1:6" x14ac:dyDescent="0.25">
      <c r="A9540" s="4" t="str">
        <f>CONCATENATE("3071-0000-5489","")</f>
        <v>3071-0000-5489</v>
      </c>
      <c r="B9540" s="4" t="s">
        <v>6896</v>
      </c>
      <c r="C9540" s="5">
        <v>41489</v>
      </c>
      <c r="D9540" s="5">
        <v>41549</v>
      </c>
      <c r="E9540" s="4" t="s">
        <v>5185</v>
      </c>
      <c r="F9540" s="4" t="s">
        <v>6837</v>
      </c>
    </row>
    <row r="9541" spans="1:6" x14ac:dyDescent="0.25">
      <c r="A9541" s="4" t="str">
        <f>CONCATENATE("3071-0000-5792","")</f>
        <v>3071-0000-5792</v>
      </c>
      <c r="B9541" s="4" t="s">
        <v>7204</v>
      </c>
      <c r="C9541" s="5">
        <v>41489</v>
      </c>
      <c r="D9541" s="5">
        <v>41549</v>
      </c>
      <c r="E9541" s="4" t="s">
        <v>5185</v>
      </c>
      <c r="F9541" s="4" t="s">
        <v>5185</v>
      </c>
    </row>
    <row r="9542" spans="1:6" x14ac:dyDescent="0.25">
      <c r="A9542" s="4" t="str">
        <f>CONCATENATE("3071-0000-8903","")</f>
        <v>3071-0000-8903</v>
      </c>
      <c r="B9542" s="4" t="s">
        <v>6295</v>
      </c>
      <c r="C9542" s="5">
        <v>41489</v>
      </c>
      <c r="D9542" s="5">
        <v>41549</v>
      </c>
      <c r="E9542" s="4" t="s">
        <v>5185</v>
      </c>
      <c r="F9542" s="4" t="s">
        <v>6181</v>
      </c>
    </row>
    <row r="9543" spans="1:6" x14ac:dyDescent="0.25">
      <c r="A9543" s="4" t="str">
        <f>CONCATENATE("3071-0000-8905","")</f>
        <v>3071-0000-8905</v>
      </c>
      <c r="B9543" s="4" t="s">
        <v>6294</v>
      </c>
      <c r="C9543" s="5">
        <v>41489</v>
      </c>
      <c r="D9543" s="5">
        <v>41549</v>
      </c>
      <c r="E9543" s="4" t="s">
        <v>5185</v>
      </c>
      <c r="F9543" s="4" t="s">
        <v>6181</v>
      </c>
    </row>
    <row r="9544" spans="1:6" x14ac:dyDescent="0.25">
      <c r="A9544" s="4" t="str">
        <f>CONCATENATE("3071-0000-8975","")</f>
        <v>3071-0000-8975</v>
      </c>
      <c r="B9544" s="4" t="s">
        <v>6261</v>
      </c>
      <c r="C9544" s="5">
        <v>41489</v>
      </c>
      <c r="D9544" s="5">
        <v>41549</v>
      </c>
      <c r="E9544" s="4" t="s">
        <v>5185</v>
      </c>
      <c r="F9544" s="4" t="s">
        <v>6181</v>
      </c>
    </row>
    <row r="9545" spans="1:6" x14ac:dyDescent="0.25">
      <c r="A9545" s="4" t="str">
        <f>CONCATENATE("3071-0000-9173","")</f>
        <v>3071-0000-9173</v>
      </c>
      <c r="B9545" s="4" t="s">
        <v>5211</v>
      </c>
      <c r="C9545" s="5">
        <v>41489</v>
      </c>
      <c r="D9545" s="5">
        <v>41549</v>
      </c>
      <c r="E9545" s="4" t="s">
        <v>5185</v>
      </c>
      <c r="F9545" s="4" t="s">
        <v>5185</v>
      </c>
    </row>
    <row r="9546" spans="1:6" x14ac:dyDescent="0.25">
      <c r="A9546" s="4" t="str">
        <f>CONCATENATE("3071-0000-6717","")</f>
        <v>3071-0000-6717</v>
      </c>
      <c r="B9546" s="4" t="s">
        <v>8182</v>
      </c>
      <c r="C9546" s="5">
        <v>41489</v>
      </c>
      <c r="D9546" s="5">
        <v>41549</v>
      </c>
      <c r="E9546" s="4" t="s">
        <v>5185</v>
      </c>
      <c r="F9546" s="4" t="s">
        <v>5185</v>
      </c>
    </row>
    <row r="9547" spans="1:6" x14ac:dyDescent="0.25">
      <c r="A9547" s="4" t="str">
        <f>CONCATENATE("3071-0000-8796","")</f>
        <v>3071-0000-8796</v>
      </c>
      <c r="B9547" s="4" t="s">
        <v>6564</v>
      </c>
      <c r="C9547" s="5">
        <v>41489</v>
      </c>
      <c r="D9547" s="5">
        <v>41549</v>
      </c>
      <c r="E9547" s="4" t="s">
        <v>5185</v>
      </c>
      <c r="F9547" s="4" t="s">
        <v>5292</v>
      </c>
    </row>
    <row r="9548" spans="1:6" x14ac:dyDescent="0.25">
      <c r="A9548" s="4" t="str">
        <f>CONCATENATE("3071-0000-3299","")</f>
        <v>3071-0000-3299</v>
      </c>
      <c r="B9548" s="4" t="s">
        <v>1128</v>
      </c>
      <c r="C9548" s="5">
        <v>41489</v>
      </c>
      <c r="D9548" s="5">
        <v>41549</v>
      </c>
      <c r="E9548" s="4" t="s">
        <v>7</v>
      </c>
      <c r="F9548" s="4" t="s">
        <v>808</v>
      </c>
    </row>
    <row r="9549" spans="1:6" x14ac:dyDescent="0.25">
      <c r="A9549" s="4" t="str">
        <f>CONCATENATE("3071-0000-1758","")</f>
        <v>3071-0000-1758</v>
      </c>
      <c r="B9549" s="4" t="s">
        <v>2565</v>
      </c>
      <c r="C9549" s="5">
        <v>41489</v>
      </c>
      <c r="D9549" s="5">
        <v>41549</v>
      </c>
      <c r="E9549" s="4" t="s">
        <v>1381</v>
      </c>
      <c r="F9549" s="4" t="s">
        <v>2303</v>
      </c>
    </row>
    <row r="9550" spans="1:6" x14ac:dyDescent="0.25">
      <c r="A9550" s="4" t="str">
        <f>CONCATENATE("3071-0000-3253","")</f>
        <v>3071-0000-3253</v>
      </c>
      <c r="B9550" s="4" t="s">
        <v>1351</v>
      </c>
      <c r="C9550" s="5">
        <v>41489</v>
      </c>
      <c r="D9550" s="5">
        <v>41549</v>
      </c>
      <c r="E9550" s="4" t="s">
        <v>7</v>
      </c>
      <c r="F9550" s="4" t="s">
        <v>982</v>
      </c>
    </row>
    <row r="9551" spans="1:6" x14ac:dyDescent="0.25">
      <c r="A9551" s="4" t="str">
        <f>CONCATENATE("3071-0000-0174","")</f>
        <v>3071-0000-0174</v>
      </c>
      <c r="B9551" s="4" t="s">
        <v>365</v>
      </c>
      <c r="C9551" s="5">
        <v>41489</v>
      </c>
      <c r="D9551" s="5">
        <v>41549</v>
      </c>
      <c r="E9551" s="4" t="s">
        <v>7</v>
      </c>
      <c r="F9551" s="4" t="s">
        <v>7</v>
      </c>
    </row>
    <row r="9552" spans="1:6" x14ac:dyDescent="0.25">
      <c r="A9552" s="4" t="str">
        <f>CONCATENATE("3071-0000-7517","")</f>
        <v>3071-0000-7517</v>
      </c>
      <c r="B9552" s="4" t="s">
        <v>4901</v>
      </c>
      <c r="C9552" s="5">
        <v>41489</v>
      </c>
      <c r="D9552" s="5">
        <v>41549</v>
      </c>
      <c r="E9552" s="4" t="s">
        <v>1410</v>
      </c>
      <c r="F9552" s="4" t="s">
        <v>4616</v>
      </c>
    </row>
    <row r="9553" spans="1:6" x14ac:dyDescent="0.25">
      <c r="A9553" s="4" t="str">
        <f>CONCATENATE("3071-0000-8093","")</f>
        <v>3071-0000-8093</v>
      </c>
      <c r="B9553" s="4" t="s">
        <v>5883</v>
      </c>
      <c r="C9553" s="5">
        <v>41489</v>
      </c>
      <c r="D9553" s="5">
        <v>41549</v>
      </c>
      <c r="E9553" s="4" t="s">
        <v>5185</v>
      </c>
      <c r="F9553" s="4" t="s">
        <v>5185</v>
      </c>
    </row>
    <row r="9554" spans="1:6" x14ac:dyDescent="0.25">
      <c r="A9554" s="4" t="str">
        <f>CONCATENATE("3071-0000-9155","")</f>
        <v>3071-0000-9155</v>
      </c>
      <c r="B9554" s="4" t="s">
        <v>5235</v>
      </c>
      <c r="C9554" s="5">
        <v>41489</v>
      </c>
      <c r="D9554" s="5">
        <v>41549</v>
      </c>
      <c r="E9554" s="4" t="s">
        <v>5185</v>
      </c>
      <c r="F9554" s="4" t="s">
        <v>5185</v>
      </c>
    </row>
    <row r="9555" spans="1:6" x14ac:dyDescent="0.25">
      <c r="A9555" s="4" t="str">
        <f>CONCATENATE("3071-0000-8367","")</f>
        <v>3071-0000-8367</v>
      </c>
      <c r="B9555" s="4" t="s">
        <v>5248</v>
      </c>
      <c r="C9555" s="5">
        <v>41489</v>
      </c>
      <c r="D9555" s="5">
        <v>41549</v>
      </c>
      <c r="E9555" s="4" t="s">
        <v>5185</v>
      </c>
      <c r="F9555" s="4" t="s">
        <v>5185</v>
      </c>
    </row>
    <row r="9556" spans="1:6" x14ac:dyDescent="0.25">
      <c r="A9556" s="4" t="str">
        <f>CONCATENATE("3071-0000-8146","")</f>
        <v>3071-0000-8146</v>
      </c>
      <c r="B9556" s="4" t="s">
        <v>5240</v>
      </c>
      <c r="C9556" s="5">
        <v>41489</v>
      </c>
      <c r="D9556" s="5">
        <v>41549</v>
      </c>
      <c r="E9556" s="4" t="s">
        <v>5185</v>
      </c>
      <c r="F9556" s="4" t="s">
        <v>5185</v>
      </c>
    </row>
    <row r="9557" spans="1:6" x14ac:dyDescent="0.25">
      <c r="A9557" s="4" t="str">
        <f>CONCATENATE("3071-0000-3990","")</f>
        <v>3071-0000-3990</v>
      </c>
      <c r="B9557" s="4" t="s">
        <v>4041</v>
      </c>
      <c r="C9557" s="5">
        <v>41489</v>
      </c>
      <c r="D9557" s="5">
        <v>41549</v>
      </c>
      <c r="E9557" s="4" t="s">
        <v>1381</v>
      </c>
      <c r="F9557" s="4" t="s">
        <v>3994</v>
      </c>
    </row>
    <row r="9558" spans="1:6" x14ac:dyDescent="0.25">
      <c r="A9558" s="4" t="str">
        <f>CONCATENATE("3071-0000-1708","")</f>
        <v>3071-0000-1708</v>
      </c>
      <c r="B9558" s="4" t="s">
        <v>2786</v>
      </c>
      <c r="C9558" s="5">
        <v>41489</v>
      </c>
      <c r="D9558" s="5">
        <v>41549</v>
      </c>
      <c r="E9558" s="4" t="s">
        <v>1381</v>
      </c>
      <c r="F9558" s="4" t="s">
        <v>2533</v>
      </c>
    </row>
    <row r="9559" spans="1:6" x14ac:dyDescent="0.25">
      <c r="A9559" s="4" t="str">
        <f>CONCATENATE("3071-0000-1383","")</f>
        <v>3071-0000-1383</v>
      </c>
      <c r="B9559" s="4" t="s">
        <v>2559</v>
      </c>
      <c r="C9559" s="5">
        <v>41489</v>
      </c>
      <c r="D9559" s="5">
        <v>41549</v>
      </c>
      <c r="E9559" s="4" t="s">
        <v>1381</v>
      </c>
      <c r="F9559" s="4" t="s">
        <v>2303</v>
      </c>
    </row>
    <row r="9560" spans="1:6" x14ac:dyDescent="0.25">
      <c r="A9560" s="4" t="str">
        <f>CONCATENATE("3071-0000-1531","")</f>
        <v>3071-0000-1531</v>
      </c>
      <c r="B9560" s="4" t="s">
        <v>2753</v>
      </c>
      <c r="C9560" s="5">
        <v>41489</v>
      </c>
      <c r="D9560" s="5">
        <v>41549</v>
      </c>
      <c r="E9560" s="4" t="s">
        <v>1381</v>
      </c>
      <c r="F9560" s="4" t="s">
        <v>2303</v>
      </c>
    </row>
    <row r="9561" spans="1:6" x14ac:dyDescent="0.25">
      <c r="A9561" s="4" t="str">
        <f>CONCATENATE("3071-0000-3861","")</f>
        <v>3071-0000-3861</v>
      </c>
      <c r="B9561" s="4" t="s">
        <v>4008</v>
      </c>
      <c r="C9561" s="5">
        <v>41489</v>
      </c>
      <c r="D9561" s="5">
        <v>41549</v>
      </c>
      <c r="E9561" s="4" t="s">
        <v>1381</v>
      </c>
      <c r="F9561" s="4" t="s">
        <v>3994</v>
      </c>
    </row>
    <row r="9562" spans="1:6" x14ac:dyDescent="0.25">
      <c r="A9562" s="4" t="str">
        <f>CONCATENATE("3071-0000-1088","")</f>
        <v>3071-0000-1088</v>
      </c>
      <c r="B9562" s="4" t="s">
        <v>2059</v>
      </c>
      <c r="C9562" s="5">
        <v>41489</v>
      </c>
      <c r="D9562" s="5">
        <v>41549</v>
      </c>
      <c r="E9562" s="4" t="s">
        <v>1857</v>
      </c>
      <c r="F9562" s="4" t="s">
        <v>2056</v>
      </c>
    </row>
    <row r="9563" spans="1:6" x14ac:dyDescent="0.25">
      <c r="A9563" s="4" t="str">
        <f>CONCATENATE("3071-0000-1048","")</f>
        <v>3071-0000-1048</v>
      </c>
      <c r="B9563" s="4" t="s">
        <v>2129</v>
      </c>
      <c r="C9563" s="5">
        <v>41489</v>
      </c>
      <c r="D9563" s="5">
        <v>41549</v>
      </c>
      <c r="E9563" s="4" t="s">
        <v>1857</v>
      </c>
      <c r="F9563" s="4" t="s">
        <v>1857</v>
      </c>
    </row>
    <row r="9564" spans="1:6" x14ac:dyDescent="0.25">
      <c r="A9564" s="4" t="str">
        <f>CONCATENATE("3071-0000-1212","")</f>
        <v>3071-0000-1212</v>
      </c>
      <c r="B9564" s="4" t="s">
        <v>1889</v>
      </c>
      <c r="C9564" s="5">
        <v>41489</v>
      </c>
      <c r="D9564" s="5">
        <v>41549</v>
      </c>
      <c r="E9564" s="4" t="s">
        <v>1857</v>
      </c>
      <c r="F9564" s="4" t="s">
        <v>1857</v>
      </c>
    </row>
    <row r="9565" spans="1:6" x14ac:dyDescent="0.25">
      <c r="A9565" s="4" t="str">
        <f>CONCATENATE("3071-0000-8091","")</f>
        <v>3071-0000-8091</v>
      </c>
      <c r="B9565" s="4" t="s">
        <v>5887</v>
      </c>
      <c r="C9565" s="5">
        <v>41489</v>
      </c>
      <c r="D9565" s="5">
        <v>41549</v>
      </c>
      <c r="E9565" s="4" t="s">
        <v>5185</v>
      </c>
      <c r="F9565" s="4" t="s">
        <v>5185</v>
      </c>
    </row>
    <row r="9566" spans="1:6" x14ac:dyDescent="0.25">
      <c r="A9566" s="4" t="str">
        <f>CONCATENATE("3071-0000-6034","")</f>
        <v>3071-0000-6034</v>
      </c>
      <c r="B9566" s="4" t="s">
        <v>7225</v>
      </c>
      <c r="C9566" s="5">
        <v>41489</v>
      </c>
      <c r="D9566" s="5">
        <v>41549</v>
      </c>
      <c r="E9566" s="4" t="s">
        <v>7069</v>
      </c>
      <c r="F9566" s="4" t="s">
        <v>7183</v>
      </c>
    </row>
    <row r="9567" spans="1:6" x14ac:dyDescent="0.25">
      <c r="A9567" s="4" t="str">
        <f>CONCATENATE("3071-0000-0589","")</f>
        <v>3071-0000-0589</v>
      </c>
      <c r="B9567" s="4" t="s">
        <v>453</v>
      </c>
      <c r="C9567" s="5">
        <v>41489</v>
      </c>
      <c r="D9567" s="5">
        <v>41549</v>
      </c>
      <c r="E9567" s="4" t="s">
        <v>7</v>
      </c>
      <c r="F9567" s="4" t="s">
        <v>7</v>
      </c>
    </row>
    <row r="9568" spans="1:6" x14ac:dyDescent="0.25">
      <c r="A9568" s="4" t="str">
        <f>CONCATENATE("3071-0000-0763","")</f>
        <v>3071-0000-0763</v>
      </c>
      <c r="B9568" s="4" t="s">
        <v>671</v>
      </c>
      <c r="C9568" s="5">
        <v>41489</v>
      </c>
      <c r="D9568" s="5">
        <v>41549</v>
      </c>
      <c r="E9568" s="4" t="s">
        <v>7</v>
      </c>
      <c r="F9568" s="4" t="s">
        <v>7</v>
      </c>
    </row>
    <row r="9569" spans="1:6" x14ac:dyDescent="0.25">
      <c r="A9569" s="4" t="str">
        <f>CONCATENATE("3071-0000-7771","")</f>
        <v>3071-0000-7771</v>
      </c>
      <c r="B9569" s="4" t="s">
        <v>4291</v>
      </c>
      <c r="C9569" s="5">
        <v>41489</v>
      </c>
      <c r="D9569" s="5">
        <v>41549</v>
      </c>
      <c r="E9569" s="4" t="s">
        <v>1410</v>
      </c>
      <c r="F9569" s="4" t="s">
        <v>1410</v>
      </c>
    </row>
    <row r="9570" spans="1:6" x14ac:dyDescent="0.25">
      <c r="A9570" s="4" t="str">
        <f>CONCATENATE("3071-0000-7846","")</f>
        <v>3071-0000-7846</v>
      </c>
      <c r="B9570" s="4" t="s">
        <v>6193</v>
      </c>
      <c r="C9570" s="5">
        <v>41489</v>
      </c>
      <c r="D9570" s="5">
        <v>41549</v>
      </c>
      <c r="E9570" s="4" t="s">
        <v>5185</v>
      </c>
      <c r="F9570" s="4" t="s">
        <v>5185</v>
      </c>
    </row>
    <row r="9571" spans="1:6" x14ac:dyDescent="0.25">
      <c r="A9571" s="4" t="str">
        <f>CONCATENATE("3071-0000-6287","")</f>
        <v>3071-0000-6287</v>
      </c>
      <c r="B9571" s="4" t="s">
        <v>7092</v>
      </c>
      <c r="C9571" s="5">
        <v>41489</v>
      </c>
      <c r="D9571" s="5">
        <v>41549</v>
      </c>
      <c r="E9571" s="4" t="s">
        <v>7069</v>
      </c>
      <c r="F9571" s="4" t="s">
        <v>7070</v>
      </c>
    </row>
    <row r="9572" spans="1:6" x14ac:dyDescent="0.25">
      <c r="A9572" s="4" t="str">
        <f>CONCATENATE("3071-0000-0177","")</f>
        <v>3071-0000-0177</v>
      </c>
      <c r="B9572" s="4" t="s">
        <v>368</v>
      </c>
      <c r="C9572" s="5">
        <v>41489</v>
      </c>
      <c r="D9572" s="5">
        <v>41549</v>
      </c>
      <c r="E9572" s="4" t="s">
        <v>7</v>
      </c>
      <c r="F9572" s="4" t="s">
        <v>7</v>
      </c>
    </row>
    <row r="9573" spans="1:6" x14ac:dyDescent="0.25">
      <c r="A9573" s="4" t="str">
        <f>CONCATENATE("3071-0000-1930","")</f>
        <v>3071-0000-1930</v>
      </c>
      <c r="B9573" s="4" t="s">
        <v>3029</v>
      </c>
      <c r="C9573" s="5">
        <v>41489</v>
      </c>
      <c r="D9573" s="5">
        <v>41549</v>
      </c>
      <c r="E9573" s="4" t="s">
        <v>2944</v>
      </c>
      <c r="F9573" s="4" t="s">
        <v>2945</v>
      </c>
    </row>
    <row r="9574" spans="1:6" x14ac:dyDescent="0.25">
      <c r="A9574" s="4" t="str">
        <f>CONCATENATE("3071-0000-6279","")</f>
        <v>3071-0000-6279</v>
      </c>
      <c r="B9574" s="4" t="s">
        <v>7089</v>
      </c>
      <c r="C9574" s="5">
        <v>41489</v>
      </c>
      <c r="D9574" s="5">
        <v>41549</v>
      </c>
      <c r="E9574" s="4" t="s">
        <v>7069</v>
      </c>
      <c r="F9574" s="4" t="s">
        <v>7070</v>
      </c>
    </row>
    <row r="9575" spans="1:6" x14ac:dyDescent="0.25">
      <c r="A9575" s="4" t="str">
        <f>CONCATENATE("3071-0000-7261","")</f>
        <v>3071-0000-7261</v>
      </c>
      <c r="B9575" s="4" t="s">
        <v>5040</v>
      </c>
      <c r="C9575" s="5">
        <v>41489</v>
      </c>
      <c r="D9575" s="5">
        <v>41549</v>
      </c>
      <c r="E9575" s="4" t="s">
        <v>1410</v>
      </c>
      <c r="F9575" s="4" t="s">
        <v>1410</v>
      </c>
    </row>
    <row r="9576" spans="1:6" x14ac:dyDescent="0.25">
      <c r="A9576" s="4" t="str">
        <f>CONCATENATE("3071-0000-4419","")</f>
        <v>3071-0000-4419</v>
      </c>
      <c r="B9576" s="4" t="s">
        <v>9282</v>
      </c>
      <c r="C9576" s="5">
        <v>41489</v>
      </c>
      <c r="D9576" s="5">
        <v>41549</v>
      </c>
      <c r="E9576" s="4" t="s">
        <v>1410</v>
      </c>
      <c r="F9576" s="4" t="s">
        <v>8696</v>
      </c>
    </row>
    <row r="9577" spans="1:6" x14ac:dyDescent="0.25">
      <c r="A9577" s="4" t="str">
        <f>CONCATENATE("3071-0000-4919","")</f>
        <v>3071-0000-4919</v>
      </c>
      <c r="B9577" s="4" t="s">
        <v>9266</v>
      </c>
      <c r="C9577" s="5">
        <v>41489</v>
      </c>
      <c r="D9577" s="5">
        <v>41549</v>
      </c>
      <c r="E9577" s="4" t="s">
        <v>7069</v>
      </c>
      <c r="F9577" s="4" t="s">
        <v>9210</v>
      </c>
    </row>
    <row r="9578" spans="1:6" x14ac:dyDescent="0.25">
      <c r="A9578" s="4" t="str">
        <f>CONCATENATE("3071-0000-7155","")</f>
        <v>3071-0000-7155</v>
      </c>
      <c r="B9578" s="4" t="s">
        <v>5003</v>
      </c>
      <c r="C9578" s="5">
        <v>41489</v>
      </c>
      <c r="D9578" s="5">
        <v>41549</v>
      </c>
      <c r="E9578" s="4" t="s">
        <v>1410</v>
      </c>
      <c r="F9578" s="4" t="s">
        <v>1410</v>
      </c>
    </row>
    <row r="9579" spans="1:6" x14ac:dyDescent="0.25">
      <c r="A9579" s="4" t="str">
        <f>CONCATENATE("3071-0000-5441","")</f>
        <v>3071-0000-5441</v>
      </c>
      <c r="B9579" s="4" t="s">
        <v>6901</v>
      </c>
      <c r="C9579" s="5">
        <v>41489</v>
      </c>
      <c r="D9579" s="5">
        <v>41549</v>
      </c>
      <c r="E9579" s="4" t="s">
        <v>5185</v>
      </c>
      <c r="F9579" s="4" t="s">
        <v>5185</v>
      </c>
    </row>
    <row r="9580" spans="1:6" x14ac:dyDescent="0.25">
      <c r="A9580" s="4" t="str">
        <f>CONCATENATE("3071-0000-1338","")</f>
        <v>3071-0000-1338</v>
      </c>
      <c r="B9580" s="4" t="s">
        <v>2470</v>
      </c>
      <c r="C9580" s="5">
        <v>41489</v>
      </c>
      <c r="D9580" s="5">
        <v>41549</v>
      </c>
      <c r="E9580" s="4" t="s">
        <v>1381</v>
      </c>
      <c r="F9580" s="4" t="s">
        <v>2303</v>
      </c>
    </row>
    <row r="9581" spans="1:6" x14ac:dyDescent="0.25">
      <c r="A9581" s="4" t="str">
        <f>CONCATENATE("3071-0000-6027","")</f>
        <v>3071-0000-6027</v>
      </c>
      <c r="B9581" s="4" t="s">
        <v>7192</v>
      </c>
      <c r="C9581" s="5">
        <v>41489</v>
      </c>
      <c r="D9581" s="5">
        <v>41549</v>
      </c>
      <c r="E9581" s="4" t="s">
        <v>7069</v>
      </c>
      <c r="F9581" s="4" t="s">
        <v>7183</v>
      </c>
    </row>
    <row r="9582" spans="1:6" x14ac:dyDescent="0.25">
      <c r="A9582" s="4" t="str">
        <f>CONCATENATE("3071-0000-8092","")</f>
        <v>3071-0000-8092</v>
      </c>
      <c r="B9582" s="4" t="s">
        <v>5882</v>
      </c>
      <c r="C9582" s="5">
        <v>41489</v>
      </c>
      <c r="D9582" s="5">
        <v>41549</v>
      </c>
      <c r="E9582" s="4" t="s">
        <v>5185</v>
      </c>
      <c r="F9582" s="4" t="s">
        <v>5185</v>
      </c>
    </row>
    <row r="9583" spans="1:6" x14ac:dyDescent="0.25">
      <c r="A9583" s="4" t="str">
        <f>CONCATENATE("3071-0000-1568","")</f>
        <v>3071-0000-1568</v>
      </c>
      <c r="B9583" s="4" t="s">
        <v>2375</v>
      </c>
      <c r="C9583" s="5">
        <v>41489</v>
      </c>
      <c r="D9583" s="5">
        <v>41549</v>
      </c>
      <c r="E9583" s="4" t="s">
        <v>1381</v>
      </c>
      <c r="F9583" s="4" t="s">
        <v>2303</v>
      </c>
    </row>
    <row r="9584" spans="1:6" x14ac:dyDescent="0.25">
      <c r="A9584" s="4" t="str">
        <f>CONCATENATE("3071-0000-6586","")</f>
        <v>3071-0000-6586</v>
      </c>
      <c r="B9584" s="4" t="s">
        <v>7996</v>
      </c>
      <c r="C9584" s="5">
        <v>41489</v>
      </c>
      <c r="D9584" s="5">
        <v>41549</v>
      </c>
      <c r="E9584" s="4" t="s">
        <v>5185</v>
      </c>
      <c r="F9584" s="4" t="s">
        <v>5185</v>
      </c>
    </row>
    <row r="9585" spans="1:6" x14ac:dyDescent="0.25">
      <c r="A9585" s="4" t="str">
        <f>CONCATENATE("3071-0000-2854","")</f>
        <v>3071-0000-2854</v>
      </c>
      <c r="B9585" s="4" t="s">
        <v>1391</v>
      </c>
      <c r="C9585" s="5">
        <v>41489</v>
      </c>
      <c r="D9585" s="5">
        <v>41549</v>
      </c>
      <c r="E9585" s="4" t="s">
        <v>7</v>
      </c>
      <c r="F9585" s="4" t="s">
        <v>808</v>
      </c>
    </row>
    <row r="9586" spans="1:6" x14ac:dyDescent="0.25">
      <c r="A9586" s="4" t="str">
        <f>CONCATENATE("3071-0000-0732","")</f>
        <v>3071-0000-0732</v>
      </c>
      <c r="B9586" s="4" t="s">
        <v>714</v>
      </c>
      <c r="C9586" s="5">
        <v>41489</v>
      </c>
      <c r="D9586" s="5">
        <v>41549</v>
      </c>
      <c r="E9586" s="4" t="s">
        <v>7</v>
      </c>
      <c r="F9586" s="4" t="s">
        <v>7</v>
      </c>
    </row>
    <row r="9587" spans="1:6" x14ac:dyDescent="0.25">
      <c r="A9587" s="4" t="str">
        <f>CONCATENATE("3071-0000-3169","")</f>
        <v>3071-0000-3169</v>
      </c>
      <c r="B9587" s="4" t="s">
        <v>1295</v>
      </c>
      <c r="C9587" s="5">
        <v>41489</v>
      </c>
      <c r="D9587" s="5">
        <v>41549</v>
      </c>
      <c r="E9587" s="4" t="s">
        <v>7</v>
      </c>
      <c r="F9587" s="4" t="s">
        <v>808</v>
      </c>
    </row>
    <row r="9588" spans="1:6" x14ac:dyDescent="0.25">
      <c r="A9588" s="4" t="str">
        <f>CONCATENATE("3071-0000-3054","")</f>
        <v>3071-0000-3054</v>
      </c>
      <c r="B9588" s="4" t="s">
        <v>987</v>
      </c>
      <c r="C9588" s="5">
        <v>41489</v>
      </c>
      <c r="D9588" s="5">
        <v>41549</v>
      </c>
      <c r="E9588" s="4" t="s">
        <v>7</v>
      </c>
      <c r="F9588" s="4" t="s">
        <v>808</v>
      </c>
    </row>
    <row r="9589" spans="1:6" x14ac:dyDescent="0.25">
      <c r="A9589" s="4" t="str">
        <f>CONCATENATE("3071-0000-9519","")</f>
        <v>3071-0000-9519</v>
      </c>
      <c r="B9589" s="4" t="s">
        <v>8522</v>
      </c>
      <c r="C9589" s="5">
        <v>41489</v>
      </c>
      <c r="D9589" s="5">
        <v>41549</v>
      </c>
      <c r="E9589" s="4" t="s">
        <v>1410</v>
      </c>
      <c r="F9589" s="4" t="s">
        <v>4459</v>
      </c>
    </row>
    <row r="9590" spans="1:6" x14ac:dyDescent="0.25">
      <c r="A9590" s="4" t="str">
        <f>CONCATENATE("3071-0000-7341","")</f>
        <v>3071-0000-7341</v>
      </c>
      <c r="B9590" s="4" t="s">
        <v>4935</v>
      </c>
      <c r="C9590" s="5">
        <v>41489</v>
      </c>
      <c r="D9590" s="5">
        <v>41549</v>
      </c>
      <c r="E9590" s="4" t="s">
        <v>1410</v>
      </c>
      <c r="F9590" s="4" t="s">
        <v>1410</v>
      </c>
    </row>
    <row r="9591" spans="1:6" x14ac:dyDescent="0.25">
      <c r="A9591" s="4" t="str">
        <f>CONCATENATE("3071-0000-9387","")</f>
        <v>3071-0000-9387</v>
      </c>
      <c r="B9591" s="4" t="s">
        <v>8477</v>
      </c>
      <c r="C9591" s="5">
        <v>41489</v>
      </c>
      <c r="D9591" s="5">
        <v>41549</v>
      </c>
      <c r="E9591" s="4" t="s">
        <v>1410</v>
      </c>
      <c r="F9591" s="4" t="s">
        <v>4459</v>
      </c>
    </row>
    <row r="9592" spans="1:6" x14ac:dyDescent="0.25">
      <c r="A9592" s="4" t="str">
        <f>CONCATENATE("3071-0000-3557","")</f>
        <v>3071-0000-3557</v>
      </c>
      <c r="B9592" s="4" t="s">
        <v>1716</v>
      </c>
      <c r="C9592" s="5">
        <v>41489</v>
      </c>
      <c r="D9592" s="5">
        <v>41549</v>
      </c>
      <c r="E9592" s="4" t="s">
        <v>1410</v>
      </c>
      <c r="F9592" s="4" t="s">
        <v>1411</v>
      </c>
    </row>
    <row r="9593" spans="1:6" x14ac:dyDescent="0.25">
      <c r="A9593" s="4" t="str">
        <f>CONCATENATE("3071-0000-3335","")</f>
        <v>3071-0000-3335</v>
      </c>
      <c r="B9593" s="4" t="s">
        <v>1415</v>
      </c>
      <c r="C9593" s="5">
        <v>41489</v>
      </c>
      <c r="D9593" s="5">
        <v>41549</v>
      </c>
      <c r="E9593" s="4" t="s">
        <v>1410</v>
      </c>
      <c r="F9593" s="4" t="s">
        <v>1411</v>
      </c>
    </row>
    <row r="9594" spans="1:6" x14ac:dyDescent="0.25">
      <c r="A9594" s="4" t="str">
        <f>CONCATENATE("3071-0000-3449","")</f>
        <v>3071-0000-3449</v>
      </c>
      <c r="B9594" s="4" t="s">
        <v>1736</v>
      </c>
      <c r="C9594" s="5">
        <v>41489</v>
      </c>
      <c r="D9594" s="5">
        <v>41549</v>
      </c>
      <c r="E9594" s="4" t="s">
        <v>1410</v>
      </c>
      <c r="F9594" s="4" t="s">
        <v>1411</v>
      </c>
    </row>
    <row r="9595" spans="1:6" x14ac:dyDescent="0.25">
      <c r="A9595" s="4" t="str">
        <f>CONCATENATE("3071-0000-6664","")</f>
        <v>3071-0000-6664</v>
      </c>
      <c r="B9595" s="4" t="s">
        <v>7744</v>
      </c>
      <c r="C9595" s="5">
        <v>41489</v>
      </c>
      <c r="D9595" s="5">
        <v>41549</v>
      </c>
      <c r="E9595" s="4" t="s">
        <v>5185</v>
      </c>
      <c r="F9595" s="4" t="s">
        <v>5185</v>
      </c>
    </row>
    <row r="9596" spans="1:6" x14ac:dyDescent="0.25">
      <c r="A9596" s="4" t="str">
        <f>CONCATENATE("3071-0000-6669","")</f>
        <v>3071-0000-6669</v>
      </c>
      <c r="B9596" s="4" t="s">
        <v>7750</v>
      </c>
      <c r="C9596" s="5">
        <v>41489</v>
      </c>
      <c r="D9596" s="5">
        <v>41549</v>
      </c>
      <c r="E9596" s="4" t="s">
        <v>5185</v>
      </c>
      <c r="F9596" s="4" t="s">
        <v>5185</v>
      </c>
    </row>
    <row r="9597" spans="1:6" x14ac:dyDescent="0.25">
      <c r="A9597" s="4" t="str">
        <f>CONCATENATE("3071-0000-3638","")</f>
        <v>3071-0000-3638</v>
      </c>
      <c r="B9597" s="4" t="s">
        <v>1579</v>
      </c>
      <c r="C9597" s="5">
        <v>41489</v>
      </c>
      <c r="D9597" s="5">
        <v>41549</v>
      </c>
      <c r="E9597" s="4" t="s">
        <v>1410</v>
      </c>
      <c r="F9597" s="4" t="s">
        <v>1411</v>
      </c>
    </row>
    <row r="9598" spans="1:6" x14ac:dyDescent="0.25">
      <c r="A9598" s="4" t="str">
        <f>CONCATENATE("3071-0000-6584","")</f>
        <v>3071-0000-6584</v>
      </c>
      <c r="B9598" s="4" t="s">
        <v>8210</v>
      </c>
      <c r="C9598" s="5">
        <v>41489</v>
      </c>
      <c r="D9598" s="5">
        <v>41549</v>
      </c>
      <c r="E9598" s="4" t="s">
        <v>5185</v>
      </c>
      <c r="F9598" s="4" t="s">
        <v>5185</v>
      </c>
    </row>
    <row r="9599" spans="1:6" x14ac:dyDescent="0.25">
      <c r="A9599" s="4" t="str">
        <f>CONCATENATE("3071-0000-9241","")</f>
        <v>3071-0000-9241</v>
      </c>
      <c r="B9599" s="4" t="s">
        <v>8348</v>
      </c>
      <c r="C9599" s="5">
        <v>41489</v>
      </c>
      <c r="D9599" s="5">
        <v>41549</v>
      </c>
      <c r="E9599" s="4" t="s">
        <v>5185</v>
      </c>
      <c r="F9599" s="4" t="s">
        <v>5185</v>
      </c>
    </row>
    <row r="9600" spans="1:6" x14ac:dyDescent="0.25">
      <c r="A9600" s="4" t="str">
        <f>CONCATENATE("3071-0000-9406","")</f>
        <v>3071-0000-9406</v>
      </c>
      <c r="B9600" s="4" t="s">
        <v>8497</v>
      </c>
      <c r="C9600" s="5">
        <v>41489</v>
      </c>
      <c r="D9600" s="5">
        <v>41549</v>
      </c>
      <c r="E9600" s="4" t="s">
        <v>1410</v>
      </c>
      <c r="F9600" s="4" t="s">
        <v>4459</v>
      </c>
    </row>
    <row r="9601" spans="1:6" x14ac:dyDescent="0.25">
      <c r="A9601" s="4" t="str">
        <f>CONCATENATE("3071-0000-9523","")</f>
        <v>3071-0000-9523</v>
      </c>
      <c r="B9601" s="4" t="s">
        <v>8566</v>
      </c>
      <c r="C9601" s="5">
        <v>41489</v>
      </c>
      <c r="D9601" s="5">
        <v>41549</v>
      </c>
      <c r="E9601" s="4" t="s">
        <v>1410</v>
      </c>
      <c r="F9601" s="4" t="s">
        <v>4459</v>
      </c>
    </row>
    <row r="9602" spans="1:6" x14ac:dyDescent="0.25">
      <c r="A9602" s="4" t="str">
        <f>CONCATENATE("3071-0000-9621","")</f>
        <v>3071-0000-9621</v>
      </c>
      <c r="B9602" s="4" t="s">
        <v>8465</v>
      </c>
      <c r="C9602" s="5">
        <v>41489</v>
      </c>
      <c r="D9602" s="5">
        <v>41549</v>
      </c>
      <c r="E9602" s="4" t="s">
        <v>1410</v>
      </c>
      <c r="F9602" s="4" t="s">
        <v>4459</v>
      </c>
    </row>
    <row r="9603" spans="1:6" x14ac:dyDescent="0.25">
      <c r="A9603" s="4" t="str">
        <f>CONCATENATE("3071-0000-6438","")</f>
        <v>3071-0000-6438</v>
      </c>
      <c r="B9603" s="4" t="s">
        <v>8148</v>
      </c>
      <c r="C9603" s="5">
        <v>41489</v>
      </c>
      <c r="D9603" s="5">
        <v>41549</v>
      </c>
      <c r="E9603" s="4" t="s">
        <v>5185</v>
      </c>
      <c r="F9603" s="4" t="s">
        <v>5185</v>
      </c>
    </row>
    <row r="9604" spans="1:6" x14ac:dyDescent="0.25">
      <c r="A9604" s="4" t="str">
        <f>CONCATENATE("3071-0000-9579","")</f>
        <v>3071-0000-9579</v>
      </c>
      <c r="B9604" s="4" t="s">
        <v>8366</v>
      </c>
      <c r="C9604" s="5">
        <v>41489</v>
      </c>
      <c r="D9604" s="5">
        <v>41549</v>
      </c>
      <c r="E9604" s="4" t="s">
        <v>1410</v>
      </c>
      <c r="F9604" s="4" t="s">
        <v>7967</v>
      </c>
    </row>
    <row r="9605" spans="1:6" x14ac:dyDescent="0.25">
      <c r="A9605" s="4" t="str">
        <f>CONCATENATE("3071-0000-3204","")</f>
        <v>3071-0000-3204</v>
      </c>
      <c r="B9605" s="4" t="s">
        <v>1252</v>
      </c>
      <c r="C9605" s="5">
        <v>41489</v>
      </c>
      <c r="D9605" s="5">
        <v>41549</v>
      </c>
      <c r="E9605" s="4" t="s">
        <v>7</v>
      </c>
      <c r="F9605" s="4" t="s">
        <v>808</v>
      </c>
    </row>
    <row r="9606" spans="1:6" x14ac:dyDescent="0.25">
      <c r="A9606" s="4" t="str">
        <f>CONCATENATE("3071-0000-9152","")</f>
        <v>3071-0000-9152</v>
      </c>
      <c r="B9606" s="4" t="s">
        <v>5438</v>
      </c>
      <c r="C9606" s="5">
        <v>41489</v>
      </c>
      <c r="D9606" s="5">
        <v>41549</v>
      </c>
      <c r="E9606" s="4" t="s">
        <v>1410</v>
      </c>
      <c r="F9606" s="4" t="s">
        <v>1410</v>
      </c>
    </row>
    <row r="9607" spans="1:6" x14ac:dyDescent="0.25">
      <c r="A9607" s="4" t="str">
        <f>CONCATENATE("3071-0000-9407","")</f>
        <v>3071-0000-9407</v>
      </c>
      <c r="B9607" s="4" t="s">
        <v>8500</v>
      </c>
      <c r="C9607" s="5">
        <v>41489</v>
      </c>
      <c r="D9607" s="5">
        <v>41549</v>
      </c>
      <c r="E9607" s="4" t="s">
        <v>1410</v>
      </c>
      <c r="F9607" s="4" t="s">
        <v>4459</v>
      </c>
    </row>
    <row r="9608" spans="1:6" x14ac:dyDescent="0.25">
      <c r="A9608" s="4" t="str">
        <f>CONCATENATE("3071-0000-9381","")</f>
        <v>3071-0000-9381</v>
      </c>
      <c r="B9608" s="4" t="s">
        <v>8680</v>
      </c>
      <c r="C9608" s="5">
        <v>41489</v>
      </c>
      <c r="D9608" s="5">
        <v>41549</v>
      </c>
      <c r="E9608" s="4" t="s">
        <v>1410</v>
      </c>
      <c r="F9608" s="4" t="s">
        <v>4459</v>
      </c>
    </row>
    <row r="9609" spans="1:6" x14ac:dyDescent="0.25">
      <c r="A9609" s="4" t="str">
        <f>CONCATENATE("3071-0000-3763","")</f>
        <v>3071-0000-3763</v>
      </c>
      <c r="B9609" s="4" t="s">
        <v>1618</v>
      </c>
      <c r="C9609" s="5">
        <v>41489</v>
      </c>
      <c r="D9609" s="5">
        <v>41549</v>
      </c>
      <c r="E9609" s="4" t="s">
        <v>1410</v>
      </c>
      <c r="F9609" s="4" t="s">
        <v>1613</v>
      </c>
    </row>
    <row r="9610" spans="1:6" x14ac:dyDescent="0.25">
      <c r="A9610" s="4" t="str">
        <f>CONCATENATE("3071-0000-9404","")</f>
        <v>3071-0000-9404</v>
      </c>
      <c r="B9610" s="4" t="s">
        <v>8483</v>
      </c>
      <c r="C9610" s="5">
        <v>41489</v>
      </c>
      <c r="D9610" s="5">
        <v>41549</v>
      </c>
      <c r="E9610" s="4" t="s">
        <v>1410</v>
      </c>
      <c r="F9610" s="4" t="s">
        <v>4459</v>
      </c>
    </row>
    <row r="9611" spans="1:6" x14ac:dyDescent="0.25">
      <c r="A9611" s="4" t="str">
        <f>CONCATENATE("3071-0000-9605","")</f>
        <v>3071-0000-9605</v>
      </c>
      <c r="B9611" s="4" t="s">
        <v>8666</v>
      </c>
      <c r="C9611" s="5">
        <v>41489</v>
      </c>
      <c r="D9611" s="5">
        <v>41549</v>
      </c>
      <c r="E9611" s="4" t="s">
        <v>1410</v>
      </c>
      <c r="F9611" s="4" t="s">
        <v>4459</v>
      </c>
    </row>
    <row r="9612" spans="1:6" x14ac:dyDescent="0.25">
      <c r="A9612" s="4" t="str">
        <f>CONCATENATE("3071-0000-9417","")</f>
        <v>3071-0000-9417</v>
      </c>
      <c r="B9612" s="4" t="s">
        <v>8513</v>
      </c>
      <c r="C9612" s="5">
        <v>41489</v>
      </c>
      <c r="D9612" s="5">
        <v>41549</v>
      </c>
      <c r="E9612" s="4" t="s">
        <v>1410</v>
      </c>
      <c r="F9612" s="4" t="s">
        <v>4459</v>
      </c>
    </row>
    <row r="9613" spans="1:6" x14ac:dyDescent="0.25">
      <c r="A9613" s="4" t="str">
        <f>CONCATENATE("3071-0000-9420","")</f>
        <v>3071-0000-9420</v>
      </c>
      <c r="B9613" s="4" t="s">
        <v>8498</v>
      </c>
      <c r="C9613" s="5">
        <v>41489</v>
      </c>
      <c r="D9613" s="5">
        <v>41549</v>
      </c>
      <c r="E9613" s="4" t="s">
        <v>1410</v>
      </c>
      <c r="F9613" s="4" t="s">
        <v>4459</v>
      </c>
    </row>
    <row r="9614" spans="1:6" x14ac:dyDescent="0.25">
      <c r="A9614" s="4" t="str">
        <f>CONCATENATE("3071-0000-6709","")</f>
        <v>3071-0000-6709</v>
      </c>
      <c r="B9614" s="4" t="s">
        <v>8163</v>
      </c>
      <c r="C9614" s="5">
        <v>41489</v>
      </c>
      <c r="D9614" s="5">
        <v>41549</v>
      </c>
      <c r="E9614" s="4" t="s">
        <v>5185</v>
      </c>
      <c r="F9614" s="4" t="s">
        <v>5185</v>
      </c>
    </row>
    <row r="9615" spans="1:6" x14ac:dyDescent="0.25">
      <c r="A9615" s="4" t="str">
        <f>CONCATENATE("3071-0000-0329","")</f>
        <v>3071-0000-0329</v>
      </c>
      <c r="B9615" s="4" t="s">
        <v>552</v>
      </c>
      <c r="C9615" s="5">
        <v>41489</v>
      </c>
      <c r="D9615" s="5">
        <v>41549</v>
      </c>
      <c r="E9615" s="4" t="s">
        <v>7</v>
      </c>
      <c r="F9615" s="4" t="s">
        <v>7</v>
      </c>
    </row>
    <row r="9616" spans="1:6" x14ac:dyDescent="0.25">
      <c r="A9616" s="4" t="str">
        <f>CONCATENATE("3071-0000-3041","")</f>
        <v>3071-0000-3041</v>
      </c>
      <c r="B9616" s="4" t="s">
        <v>879</v>
      </c>
      <c r="C9616" s="5">
        <v>41489</v>
      </c>
      <c r="D9616" s="5">
        <v>41549</v>
      </c>
      <c r="E9616" s="4" t="s">
        <v>7</v>
      </c>
      <c r="F9616" s="4" t="s">
        <v>808</v>
      </c>
    </row>
  </sheetData>
  <sortState ref="A2:U9617">
    <sortCondition ref="B1"/>
  </sortState>
  <mergeCells count="1">
    <mergeCell ref="A1:F1"/>
  </mergeCells>
  <pageMargins left="0.25" right="0.25" top="0.75" bottom="0.75" header="0.3" footer="0.3"/>
  <pageSetup paperSize="9" scale="7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AAAAA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Andy Flores Cucchi</dc:creator>
  <cp:lastModifiedBy>Andy Flores Cucchi</cp:lastModifiedBy>
  <cp:lastPrinted>2013-08-07T20:07:47Z</cp:lastPrinted>
  <dcterms:created xsi:type="dcterms:W3CDTF">2013-08-07T20:08:06Z</dcterms:created>
  <dcterms:modified xsi:type="dcterms:W3CDTF">2013-08-07T20:08:06Z</dcterms:modified>
</cp:coreProperties>
</file>